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tables/table1.xml" ContentType="application/vnd.openxmlformats-officedocument.spreadsheetml.table+xml"/>
  <Override PartName="/xl/worksheets/sheet2.xml" ContentType="application/vnd.openxmlformats-officedocument.spreadsheetml.worksheet+xml"/>
  <Override PartName="/xl/tables/table2.xml" ContentType="application/vnd.openxmlformats-officedocument.spreadsheetml.table+xml"/>
  <Override PartName="/xl/worksheets/sheet3.xml" ContentType="application/vnd.openxmlformats-officedocument.spreadsheetml.worksheet+xml"/>
  <Override PartName="/xl/worksheets/sheet4.xml" ContentType="application/vnd.openxmlformats-officedocument.spreadsheetml.worksheet+xml"/>
  <Override PartName="/xl/tables/table3.xml" ContentType="application/vnd.openxmlformats-officedocument.spreadsheetml.table+xml"/>
  <Override PartName="/xl/worksheets/sheet5.xml" ContentType="application/vnd.openxmlformats-officedocument.spreadsheetml.worksheet+xml"/>
  <Override PartName="/xl/tables/table4.xml" ContentType="application/vnd.openxmlformats-officedocument.spreadsheetml.table+xml"/>
  <Override PartName="/xl/worksheets/sheet6.xml" ContentType="application/vnd.openxmlformats-officedocument.spreadsheetml.worksheet+xml"/>
  <Override PartName="/xl/tables/table5.xml" ContentType="application/vnd.openxmlformats-officedocument.spreadsheetml.table+xml"/>
  <Override PartName="/xl/worksheets/sheet7.xml" ContentType="application/vnd.openxmlformats-officedocument.spreadsheetml.worksheet+xml"/>
  <Override PartName="/xl/tables/table6.xml" ContentType="application/vnd.openxmlformats-officedocument.spreadsheetml.table+xml"/>
  <Override PartName="/xl/worksheets/sheet8.xml" ContentType="application/vnd.openxmlformats-officedocument.spreadsheetml.worksheet+xml"/>
  <Override PartName="/xl/worksheets/sheet9.xml" ContentType="application/vnd.openxmlformats-officedocument.spreadsheetml.worksheet+xml"/>
  <Override PartName="/xl/tables/table7.xml" ContentType="application/vnd.openxmlformats-officedocument.spreadsheetml.table+xml"/>
  <Override PartName="/xl/worksheets/sheet10.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8bc1f5b1937a4967" /></Relationships>
</file>

<file path=xl/workbook.xml><?xml version="1.0" encoding="utf-8"?>
<x:workbook xmlns:x="http://schemas.openxmlformats.org/spreadsheetml/2006/main">
  <x:sheets>
    <x:sheet xmlns:r="http://schemas.openxmlformats.org/officeDocument/2006/relationships" name="Ranking" sheetId="1" r:id="R7a73430a87774f4d"/>
    <x:sheet xmlns:r="http://schemas.openxmlformats.org/officeDocument/2006/relationships" name="Score Inputs" sheetId="2" r:id="R9fc3e53029694a06"/>
    <x:sheet xmlns:r="http://schemas.openxmlformats.org/officeDocument/2006/relationships" name="Rubric" sheetId="3" r:id="R06eba54cb2ea4ed0"/>
    <x:sheet xmlns:r="http://schemas.openxmlformats.org/officeDocument/2006/relationships" name="Profiles" sheetId="4" r:id="R619eb59d351843fe"/>
    <x:sheet xmlns:r="http://schemas.openxmlformats.org/officeDocument/2006/relationships" name="Evidence 225" sheetId="5" r:id="R7aec663bc3b1484d"/>
    <x:sheet xmlns:r="http://schemas.openxmlformats.org/officeDocument/2006/relationships" name="Sources" sheetId="6" r:id="R2d21084baae14762"/>
    <x:sheet xmlns:r="http://schemas.openxmlformats.org/officeDocument/2006/relationships" name="Matchups" sheetId="7" r:id="R2f8e6f5ff13f4b18"/>
    <x:sheet xmlns:r="http://schemas.openxmlformats.org/officeDocument/2006/relationships" name="Matrix" sheetId="8" r:id="Rf3b09df85eca499e"/>
    <x:sheet xmlns:r="http://schemas.openxmlformats.org/officeDocument/2006/relationships" name="Sensitivity" sheetId="9" r:id="Rd5a5135c00954940"/>
    <x:sheet xmlns:r="http://schemas.openxmlformats.org/officeDocument/2006/relationships" name="QA and Notes" sheetId="10" r:id="R6efb7adce5fd4810"/>
  </x:sheets>
</x:workbook>
</file>

<file path=xl/sharedStrings.xml><?xml version="1.0" encoding="utf-8"?>
<x:sst xmlns:x="http://schemas.openxmlformats.org/spreadsheetml/2006/main"/>
</file>

<file path=xl/styles.xml><?xml version="1.0" encoding="utf-8"?>
<x:styleSheet xmlns:x="http://schemas.openxmlformats.org/spreadsheetml/2006/main">
  <x:numFmts count="5">
    <x:numFmt numFmtId="200" formatCode="0.0#"/>
    <x:numFmt numFmtId="201" formatCode="0.0"/>
    <x:numFmt numFmtId="202" formatCode="0.00"/>
    <x:numFmt numFmtId="203" formatCode="0"/>
    <x:numFmt numFmtId="204" formatCode="0&quot; / 100&quot;"/>
  </x:numFmts>
  <x:fonts count="4">
    <x:font>
      <x:sz val="11"/>
      <x:name val="Carlito"/>
    </x:font>
    <x:font>
      <x:b/>
      <x:sz val="11"/>
      <x:color rgb="FFFFFFFF"/>
      <x:name val="Carlito"/>
    </x:font>
    <x:font>
      <x:b/>
      <x:sz val="11"/>
      <x:name val="Carlito"/>
    </x:font>
    <x:font>
      <x:sz val="11"/>
      <x:color rgb="FF124D62"/>
      <x:name val="Carlito"/>
    </x:font>
  </x:fonts>
  <x:fills count="6">
    <x:fill>
      <x:patternFill patternType="none"/>
    </x:fill>
    <x:fill>
      <x:patternFill patternType="gray125"/>
    </x:fill>
    <x:fill>
      <x:patternFill patternType="solid">
        <x:fgColor rgb="FF18394A"/>
      </x:patternFill>
    </x:fill>
    <x:fill>
      <x:patternFill patternType="solid">
        <x:fgColor rgb="FFF1F5F7"/>
      </x:patternFill>
    </x:fill>
    <x:fill>
      <x:patternFill patternType="solid">
        <x:fgColor rgb="FFDCEDE9"/>
      </x:patternFill>
    </x:fill>
    <x:fill>
      <x:patternFill patternType="solid">
        <x:fgColor rgb="FFE7D9AD"/>
      </x:patternFill>
    </x:fill>
  </x:fills>
  <x:borders count="2">
    <x:border/>
    <x:border/>
  </x:borders>
  <x:cellStyleXfs count="1">
    <x:xf numFmtId="0" fontId="0" fillId="0" borderId="0"/>
  </x:cellStyleXfs>
  <x:cellXfs count="52">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0" fillId="3" borderId="0" xfId="0" applyNumberFormat="1" applyFont="1" applyFill="1" applyBorder="1" applyAlignment="1">
      <x:alignment wrapText="1"/>
    </x:xf>
    <x:xf numFmtId="0" fontId="0" fillId="3" borderId="0" xfId="0" applyNumberFormat="1" applyFont="1" applyFill="1" applyBorder="1" applyAlignment="1">
      <x:alignment vertical="center" wrapText="1"/>
    </x:xf>
    <x:xf numFmtId="0" fontId="0" fillId="3" borderId="1" xfId="0" applyNumberFormat="1" applyFont="1" applyFill="1" applyBorder="1"/>
    <x:xf numFmtId="0" fontId="0" fillId="3" borderId="1" xfId="0" applyNumberFormat="1" applyFont="1" applyFill="1" applyBorder="1" applyAlignment="1">
      <x:alignment wrapText="1"/>
    </x:xf>
    <x:xf numFmtId="0" fontId="0" fillId="3" borderId="1" xfId="0" applyNumberFormat="1" applyFont="1" applyFill="1" applyBorder="1" applyAlignment="1">
      <x:alignment vertical="center" wrapText="1"/>
    </x:xf>
    <x:xf numFmtId="0" fontId="1" fillId="2" borderId="0" xfId="0" applyNumberFormat="1" applyFont="1" applyFill="1" applyBorder="1" applyAlignment="1">
      <x:alignment wrapText="1"/>
    </x:xf>
    <x:xf numFmtId="0" fontId="1" fillId="2" borderId="1" xfId="0" applyNumberFormat="1" applyFont="1" applyFill="1" applyBorder="1" applyAlignment="1">
      <x:alignment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4" borderId="0" xfId="0" applyNumberFormat="1" applyFont="1" applyFill="1" applyBorder="1" applyAlignment="1">
      <x:alignment vertical="top" wrapText="1"/>
    </x:xf>
    <x:xf numFmtId="0" fontId="2" fillId="4" borderId="0" xfId="0" applyNumberFormat="1" applyFont="1" applyFill="1" applyBorder="1" applyAlignment="1">
      <x:alignment vertical="top" wrapText="1"/>
    </x:xf>
    <x:xf numFmtId="0" fontId="0" fillId="4" borderId="1" xfId="0" applyNumberFormat="1" applyFont="1" applyFill="1" applyBorder="1" applyAlignment="1">
      <x:alignment vertical="top" wrapText="1"/>
    </x:xf>
    <x:xf numFmtId="0" fontId="2" fillId="4" borderId="1" xfId="0" applyNumberFormat="1" applyFont="1" applyFill="1" applyBorder="1" applyAlignment="1">
      <x:alignment vertical="top" wrapText="1"/>
    </x:xf>
    <x:xf numFmtId="0" fontId="0" fillId="3" borderId="0" xfId="0" applyNumberFormat="1" applyFont="1" applyFill="1" applyBorder="1" applyAlignment="1">
      <x:alignment vertical="top" wrapText="1"/>
    </x:xf>
    <x:xf numFmtId="0" fontId="0" fillId="3" borderId="1" xfId="0" applyNumberFormat="1" applyFont="1" applyFill="1" applyBorder="1" applyAlignment="1">
      <x:alignment vertical="top" wrapText="1"/>
    </x:xf>
    <x:xf numFmtId="0" fontId="0" fillId="2" borderId="0" xfId="0" applyNumberFormat="1" applyFont="1" applyFill="1" applyBorder="1" applyAlignment="1">
      <x:alignment vertical="top" wrapText="1"/>
    </x:xf>
    <x:xf numFmtId="0" fontId="1" fillId="2" borderId="0" xfId="0" applyNumberFormat="1" applyFont="1" applyFill="1" applyBorder="1" applyAlignment="1">
      <x:alignment vertical="top" wrapText="1"/>
    </x:xf>
    <x:xf numFmtId="0" fontId="0" fillId="2" borderId="1" xfId="0" applyNumberFormat="1" applyFont="1" applyFill="1" applyBorder="1" applyAlignment="1">
      <x:alignment vertical="top" wrapText="1"/>
    </x:xf>
    <x:xf numFmtId="0" fontId="1" fillId="2" borderId="1" xfId="0" applyNumberFormat="1" applyFont="1" applyFill="1" applyBorder="1" applyAlignment="1">
      <x:alignment vertical="top" wrapText="1"/>
    </x:xf>
    <x:xf numFmtId="200" fontId="0" fillId="0" borderId="0" xfId="0" applyNumberFormat="1" applyFont="1" applyFill="1" applyBorder="1" applyAlignment="1">
      <x:alignment vertical="top" wrapText="1"/>
    </x:xf>
    <x:xf numFmtId="200" fontId="0" fillId="0" borderId="1" xfId="0" applyNumberFormat="1" applyFont="1" applyFill="1" applyBorder="1" applyAlignment="1">
      <x:alignment vertical="top" wrapText="1"/>
    </x:xf>
    <x:xf numFmtId="0" fontId="3" fillId="4" borderId="0" xfId="0" applyNumberFormat="1" applyFont="1" applyFill="1" applyBorder="1" applyAlignment="1">
      <x:alignment vertical="top" wrapText="1"/>
    </x:xf>
    <x:xf numFmtId="0" fontId="3" fillId="4" borderId="1" xfId="0" applyNumberFormat="1" applyFont="1" applyFill="1" applyBorder="1" applyAlignment="1">
      <x:alignment vertical="top" wrapText="1"/>
    </x:xf>
    <x:xf numFmtId="201" fontId="3" fillId="4" borderId="0" xfId="0" applyNumberFormat="1" applyFont="1" applyFill="1" applyBorder="1" applyAlignment="1">
      <x:alignment vertical="top" wrapText="1"/>
    </x:xf>
    <x:xf numFmtId="201" fontId="3" fillId="4" borderId="1" xfId="0" applyNumberFormat="1" applyFont="1" applyFill="1" applyBorder="1" applyAlignment="1">
      <x:alignment vertical="top" wrapText="1"/>
    </x:xf>
    <x:xf numFmtId="202" fontId="0" fillId="0" borderId="0" xfId="0" applyNumberFormat="1" applyFont="1" applyFill="1" applyBorder="1" applyAlignment="1">
      <x:alignment vertical="top" wrapText="1"/>
    </x:xf>
    <x:xf numFmtId="202" fontId="0" fillId="0" borderId="1" xfId="0" applyNumberFormat="1" applyFont="1" applyFill="1" applyBorder="1" applyAlignment="1">
      <x:alignment vertical="top" wrapText="1"/>
    </x:xf>
    <x:xf numFmtId="203" fontId="0" fillId="0" borderId="0" xfId="0" applyNumberFormat="1" applyFont="1" applyFill="1" applyBorder="1" applyAlignment="1">
      <x:alignment vertical="top" wrapText="1"/>
    </x:xf>
    <x:xf numFmtId="203" fontId="0" fillId="0" borderId="1" xfId="0" applyNumberFormat="1" applyFont="1" applyFill="1" applyBorder="1" applyAlignment="1">
      <x:alignment vertical="top" wrapText="1"/>
    </x:xf>
    <x:xf numFmtId="201" fontId="0" fillId="0" borderId="0" xfId="0" applyNumberFormat="1" applyFont="1" applyFill="1" applyBorder="1" applyAlignment="1">
      <x:alignment vertical="top" wrapText="1"/>
    </x:xf>
    <x:xf numFmtId="201" fontId="0" fillId="0" borderId="1" xfId="0" applyNumberFormat="1" applyFont="1" applyFill="1" applyBorder="1" applyAlignment="1">
      <x:alignment vertical="top" wrapText="1"/>
    </x:xf>
    <x:xf numFmtId="0" fontId="2" fillId="4" borderId="0" xfId="0" applyNumberFormat="1" applyFont="1" applyFill="1" applyBorder="1" applyAlignment="1">
      <x:alignment horizontal="center" vertical="top" wrapText="1"/>
    </x:xf>
    <x:xf numFmtId="0" fontId="2" fillId="4" borderId="1" xfId="0" applyNumberFormat="1" applyFont="1" applyFill="1" applyBorder="1" applyAlignment="1">
      <x:alignment horizontal="center" vertical="top" wrapText="1"/>
    </x:xf>
    <x:xf numFmtId="204" fontId="2" fillId="4" borderId="0" xfId="0" applyNumberFormat="1" applyFont="1" applyFill="1" applyBorder="1" applyAlignment="1">
      <x:alignment horizontal="center" vertical="top" wrapText="1"/>
    </x:xf>
    <x:xf numFmtId="204" fontId="2" fillId="4" borderId="1" xfId="0" applyNumberFormat="1" applyFont="1" applyFill="1" applyBorder="1" applyAlignment="1">
      <x:alignment horizontal="center" vertical="top" wrapText="1"/>
    </x:xf>
    <x:xf numFmtId="0" fontId="0" fillId="5" borderId="0" xfId="0" applyNumberFormat="1" applyFont="1" applyFill="1" applyBorder="1" applyAlignment="1">
      <x:alignment vertical="top" wrapText="1"/>
    </x:xf>
    <x:xf numFmtId="204" fontId="2" fillId="5" borderId="0" xfId="0" applyNumberFormat="1" applyFont="1" applyFill="1" applyBorder="1" applyAlignment="1">
      <x:alignment horizontal="center" vertical="top" wrapText="1"/>
    </x:xf>
    <x:xf numFmtId="202" fontId="0" fillId="5" borderId="0" xfId="0" applyNumberFormat="1" applyFont="1" applyFill="1" applyBorder="1" applyAlignment="1">
      <x:alignment vertical="top" wrapText="1"/>
    </x:xf>
    <x:xf numFmtId="0" fontId="0" fillId="5" borderId="1" xfId="0" applyNumberFormat="1" applyFont="1" applyFill="1" applyBorder="1" applyAlignment="1">
      <x:alignment vertical="top" wrapText="1"/>
    </x:xf>
    <x:xf numFmtId="204" fontId="2" fillId="5" borderId="1" xfId="0" applyNumberFormat="1" applyFont="1" applyFill="1" applyBorder="1" applyAlignment="1">
      <x:alignment horizontal="center" vertical="top" wrapText="1"/>
    </x:xf>
    <x:xf numFmtId="202" fontId="0" fillId="5" borderId="1" xfId="0" applyNumberFormat="1" applyFont="1" applyFill="1" applyBorder="1" applyAlignment="1">
      <x:alignment vertical="top" wrapText="1"/>
    </x:xf>
    <x:xf numFmtId="0" fontId="0" fillId="0" borderId="0" xfId="0" applyNumberFormat="1" applyFont="1" applyFill="1" applyBorder="1" applyAlignment="1">
      <x:alignment horizontal="center" vertical="top" wrapText="1"/>
    </x:xf>
    <x:xf numFmtId="0" fontId="0" fillId="0" borderId="1" xfId="0" applyNumberFormat="1" applyFont="1" applyFill="1" applyBorder="1" applyAlignment="1">
      <x:alignment horizontal="center" vertical="top" wrapText="1"/>
    </x:xf>
  </x:cellXfs>
  <x:cellStyles count="1">
    <x:cellStyle name="Normal" xfId="0"/>
  </x:cellStyles>
  <x:dxfs count="4">
    <x:dxf>
      <x:fill>
        <x:patternFill patternType="solid">
          <x:bgColor rgb="FFE1EFE8"/>
        </x:patternFill>
      </x:fill>
    </x:dxf>
    <x:dxf>
      <x:fill>
        <x:patternFill patternType="solid">
          <x:bgColor rgb="FFF2E8CD"/>
        </x:patternFill>
      </x:fill>
    </x:dxf>
    <x:dxf>
      <x:fill>
        <x:patternFill patternType="solid">
          <x:bgColor rgb="FFDFEEE7"/>
        </x:patternFill>
      </x:fill>
    </x:dxf>
    <x:dxf>
      <x:fill>
        <x:patternFill patternType="solid">
          <x:bgColor rgb="FFF7D7D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7361beefca6d46c3" /><Relationship Type="http://schemas.openxmlformats.org/officeDocument/2006/relationships/theme" Target="/xl/theme/theme1.xml" Id="Rab6d86f76fc94d59" /><Relationship Type="http://schemas.openxmlformats.org/officeDocument/2006/relationships/sharedStrings" Target="/xl/sharedStrings.xml" Id="R102ba8ba147a435d" /><Relationship Type="http://schemas.openxmlformats.org/officeDocument/2006/relationships/worksheet" Target="/xl/worksheets/sheet1.xml" Id="R7a73430a87774f4d" /><Relationship Type="http://schemas.openxmlformats.org/officeDocument/2006/relationships/worksheet" Target="/xl/worksheets/sheet2.xml" Id="R9fc3e53029694a06" /><Relationship Type="http://schemas.openxmlformats.org/officeDocument/2006/relationships/worksheet" Target="/xl/worksheets/sheet3.xml" Id="R06eba54cb2ea4ed0" /><Relationship Type="http://schemas.openxmlformats.org/officeDocument/2006/relationships/worksheet" Target="/xl/worksheets/sheet4.xml" Id="R619eb59d351843fe" /><Relationship Type="http://schemas.openxmlformats.org/officeDocument/2006/relationships/worksheet" Target="/xl/worksheets/sheet5.xml" Id="R7aec663bc3b1484d" /><Relationship Type="http://schemas.openxmlformats.org/officeDocument/2006/relationships/worksheet" Target="/xl/worksheets/sheet6.xml" Id="R2d21084baae14762" /><Relationship Type="http://schemas.openxmlformats.org/officeDocument/2006/relationships/worksheet" Target="/xl/worksheets/sheet7.xml" Id="R2f8e6f5ff13f4b18" /><Relationship Type="http://schemas.openxmlformats.org/officeDocument/2006/relationships/worksheet" Target="/xl/worksheets/sheet8.xml" Id="Rf3b09df85eca499e" /><Relationship Type="http://schemas.openxmlformats.org/officeDocument/2006/relationships/worksheet" Target="/xl/worksheets/sheet9.xml" Id="Rd5a5135c00954940" /><Relationship Type="http://schemas.openxmlformats.org/officeDocument/2006/relationships/worksheet" Target="/xl/worksheets/sheet10.xml" Id="R6efb7adce5fd4810" /></Relationships>
</file>

<file path=xl/tables/table1.xml><?xml version="1.0" encoding="utf-8"?>
<x:table xmlns:x="http://schemas.openxmlformats.org/spreadsheetml/2006/main" id="5" name="FinalRankings" displayName="FinalRankings" ref="A5:I30" headerRowCount="1" totalsRowCount="0" totalsRowShown="0">
  <x:tableColumns count="9">
    <x:tableColumn id="1" name="Rank"/>
    <x:tableColumn id="2" name="Company"/>
    <x:tableColumn id="3" name="Score /100"/>
    <x:tableColumn id="4" name="W–L–T"/>
    <x:tableColumn id="5" name="Best fit"/>
    <x:tableColumn id="6" name="Published offer"/>
    <x:tableColumn id="7" name="Evidence confidence"/>
    <x:tableColumn id="8" name="Exact arithmetic"/>
    <x:tableColumn id="9" name="ID"/>
  </x:tableColumns>
  <x:tableStyleInfo name="TableStyleMedium2" showFirstColumn="0" showLastColumn="0" showRowStripes="1" showColumnStripes="0"/>
</x:table>
</file>

<file path=xl/tables/table2.xml><?xml version="1.0" encoding="utf-8"?>
<x:table xmlns:x="http://schemas.openxmlformats.org/spreadsheetml/2006/main" id="1" name="ScoreInputsTable" displayName="ScoreInputsTable" ref="A5:T30" headerRowCount="1" totalsRowCount="0" totalsRowShown="0">
  <x:tableColumns count="20">
    <x:tableColumn id="1" name="ID"/>
    <x:tableColumn id="2" name="Company"/>
    <x:tableColumn id="3" name="Feedback"/>
    <x:tableColumn id="4" name="Outcomes"/>
    <x:tableColumn id="5" name="Value"/>
    <x:tableColumn id="6" name="Personalization"/>
    <x:tableColumn id="7" name="Credentials"/>
    <x:tableColumn id="8" name="Quality"/>
    <x:tableColumn id="9" name="Support"/>
    <x:tableColumn id="10" name="History"/>
    <x:tableColumn id="11" name="Reputation"/>
    <x:tableColumn id="12" name="Exact total"/>
    <x:tableColumn id="13" name="Score /100"/>
    <x:tableColumn id="14" name="Confidence code"/>
    <x:tableColumn id="15" name="Alphabetical key"/>
    <x:tableColumn id="16" name="Final rank"/>
    <x:tableColumn id="17" name="Wins"/>
    <x:tableColumn id="18" name="Losses"/>
    <x:tableColumn id="19" name="Ties"/>
    <x:tableColumn id="20" name="Evidence confidence"/>
  </x:tableColumns>
  <x:tableStyleInfo name="TableStyleMedium2" showFirstColumn="0" showLastColumn="0" showRowStripes="1" showColumnStripes="0"/>
</x:table>
</file>

<file path=xl/tables/table3.xml><?xml version="1.0" encoding="utf-8"?>
<x:table xmlns:x="http://schemas.openxmlformats.org/spreadsheetml/2006/main" id="2" name="CompanyProfiles" displayName="CompanyProfiles" ref="A5:J30" headerRowCount="1" totalsRowCount="0" totalsRowShown="0">
  <x:tableColumns count="10">
    <x:tableColumn id="1" name="ID"/>
    <x:tableColumn id="2" name="Company"/>
    <x:tableColumn id="3" name="Best fit"/>
    <x:tableColumn id="4" name="Published offer"/>
    <x:tableColumn id="5" name="Primary strength"/>
    <x:tableColumn id="6" name="Main limitation"/>
    <x:tableColumn id="7" name="Inspection coverage"/>
    <x:tableColumn id="8" name="Services"/>
    <x:tableColumn id="9" name="Source IDs"/>
    <x:tableColumn id="10" name="Source URLs"/>
  </x:tableColumns>
  <x:tableStyleInfo name="TableStyleMedium2" showFirstColumn="0" showLastColumn="0" showRowStripes="1" showColumnStripes="0"/>
</x:table>
</file>

<file path=xl/tables/table4.xml><?xml version="1.0" encoding="utf-8"?>
<x:table xmlns:x="http://schemas.openxmlformats.org/spreadsheetml/2006/main" id="3" name="CriterionEvidence" displayName="CriterionEvidence" ref="A5:J230" headerRowCount="1" totalsRowCount="0" totalsRowShown="0">
  <x:tableColumns count="10">
    <x:tableColumn id="1" name="Company ID"/>
    <x:tableColumn id="2" name="Company"/>
    <x:tableColumn id="3" name="Criterion"/>
    <x:tableColumn id="4" name="Weight"/>
    <x:tableColumn id="5" name="Rating /10"/>
    <x:tableColumn id="6" name="Weighted points"/>
    <x:tableColumn id="7" name="Editorial reasoning"/>
    <x:tableColumn id="8" name="Source IDs"/>
    <x:tableColumn id="9" name="Source URLs"/>
    <x:tableColumn id="10" name="Evidence status"/>
  </x:tableColumns>
  <x:tableStyleInfo name="TableStyleMedium2" showFirstColumn="0" showLastColumn="0" showRowStripes="1" showColumnStripes="0"/>
</x:table>
</file>

<file path=xl/tables/table5.xml><?xml version="1.0" encoding="utf-8"?>
<x:table xmlns:x="http://schemas.openxmlformats.org/spreadsheetml/2006/main" id="4" name="SourcesTable" displayName="SourcesTable" ref="A5:G128" headerRowCount="1" totalsRowCount="0" totalsRowShown="0">
  <x:tableColumns count="7">
    <x:tableColumn id="1" name="ID"/>
    <x:tableColumn id="2" name="Title"/>
    <x:tableColumn id="3" name="Company / scope"/>
    <x:tableColumn id="4" name="URL"/>
    <x:tableColumn id="5" name="Checked"/>
    <x:tableColumn id="6" name="Provenance"/>
    <x:tableColumn id="7" name="Evidence note"/>
  </x:tableColumns>
  <x:tableStyleInfo name="TableStyleMedium2" showFirstColumn="0" showLastColumn="0" showRowStripes="1" showColumnStripes="0"/>
</x:table>
</file>

<file path=xl/tables/table6.xml><?xml version="1.0" encoding="utf-8"?>
<x:table xmlns:x="http://schemas.openxmlformats.org/spreadsheetml/2006/main" id="6" name="MatchLedger" displayName="MatchLedger" ref="A5:K305" headerRowCount="1" totalsRowCount="0" totalsRowShown="0">
  <x:tableColumns count="11">
    <x:tableColumn id="1" name="Match"/>
    <x:tableColumn id="2" name="ID A"/>
    <x:tableColumn id="3" name="ID B"/>
    <x:tableColumn id="4" name="Company A"/>
    <x:tableColumn id="5" name="Company B"/>
    <x:tableColumn id="6" name="Score A"/>
    <x:tableColumn id="7" name="Score B"/>
    <x:tableColumn id="8" name="A minus B"/>
    <x:tableColumn id="9" name="Result"/>
    <x:tableColumn id="10" name="Separation"/>
    <x:tableColumn id="11" name="Source IDs"/>
  </x:tableColumns>
  <x:tableStyleInfo name="TableStyleMedium2" showFirstColumn="0" showLastColumn="0" showRowStripes="1" showColumnStripes="0"/>
</x:table>
</file>

<file path=xl/tables/table7.xml><?xml version="1.0" encoding="utf-8"?>
<x:table xmlns:x="http://schemas.openxmlformats.org/spreadsheetml/2006/main" id="7" name="SensitivityScenarios" displayName="SensitivityScenarios" ref="A5:K130" headerRowCount="1" totalsRowCount="0" totalsRowShown="0">
  <x:tableColumns count="11">
    <x:tableColumn id="1" name="Scenario"/>
    <x:tableColumn id="2" name="Company"/>
    <x:tableColumn id="3" name="Score"/>
    <x:tableColumn id="4" name="Scenario rank"/>
    <x:tableColumn id="5" name="Baseline rank"/>
    <x:tableColumn id="6" name="Rank change"/>
    <x:tableColumn id="7" name="Outcome rating"/>
    <x:tableColumn id="8" name="Feedback rating"/>
    <x:tableColumn id="9" name="Value rating"/>
    <x:tableColumn id="10" name="Confidence key"/>
    <x:tableColumn id="11" name="Alphabetical key"/>
  </x:tableColumns>
  <x:tableStyleInfo name="TableStyleMedium2" showFirstColumn="0" showLastColumn="0" showRowStripes="1" showColumnStripes="0"/>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1.xml.rels>&#65279;<?xml version="1.0" encoding="utf-8"?><Relationships xmlns="http://schemas.openxmlformats.org/package/2006/relationships"><Relationship Type="http://schemas.openxmlformats.org/officeDocument/2006/relationships/table" Target="/xl/tables/table1.xml" Id="R5a045a2d8a824480" /></Relationships>
</file>

<file path=xl/worksheets/_rels/sheet2.xml.rels>&#65279;<?xml version="1.0" encoding="utf-8"?><Relationships xmlns="http://schemas.openxmlformats.org/package/2006/relationships"><Relationship Type="http://schemas.openxmlformats.org/officeDocument/2006/relationships/table" Target="/xl/tables/table2.xml" Id="Re6207819101a458e" /></Relationships>
</file>

<file path=xl/worksheets/_rels/sheet4.xml.rels>&#65279;<?xml version="1.0" encoding="utf-8"?><Relationships xmlns="http://schemas.openxmlformats.org/package/2006/relationships"><Relationship Type="http://schemas.openxmlformats.org/officeDocument/2006/relationships/table" Target="/xl/tables/table3.xml" Id="R7abbee4d42e348b9" /></Relationships>
</file>

<file path=xl/worksheets/_rels/sheet5.xml.rels>&#65279;<?xml version="1.0" encoding="utf-8"?><Relationships xmlns="http://schemas.openxmlformats.org/package/2006/relationships"><Relationship Type="http://schemas.openxmlformats.org/officeDocument/2006/relationships/table" Target="/xl/tables/table4.xml" Id="Rd0f4e850beed4b23" /></Relationships>
</file>

<file path=xl/worksheets/_rels/sheet6.xml.rels>&#65279;<?xml version="1.0" encoding="utf-8"?><Relationships xmlns="http://schemas.openxmlformats.org/package/2006/relationships"><Relationship Type="http://schemas.openxmlformats.org/officeDocument/2006/relationships/table" Target="/xl/tables/table5.xml" Id="R39b0fef6978b4cad" /></Relationships>
</file>

<file path=xl/worksheets/_rels/sheet7.xml.rels>&#65279;<?xml version="1.0" encoding="utf-8"?><Relationships xmlns="http://schemas.openxmlformats.org/package/2006/relationships"><Relationship Type="http://schemas.openxmlformats.org/officeDocument/2006/relationships/table" Target="/xl/tables/table6.xml" Id="R63651cc093724a2d" /></Relationships>
</file>

<file path=xl/worksheets/_rels/sheet9.xml.rels>&#65279;<?xml version="1.0" encoding="utf-8"?><Relationships xmlns="http://schemas.openxmlformats.org/package/2006/relationships"><Relationship Type="http://schemas.openxmlformats.org/officeDocument/2006/relationships/table" Target="/xl/tables/table7.xml" Id="R7f6504c1c81f45e2" /></Relationships>
</file>

<file path=xl/worksheets/sheet1.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7" hidden="0" customWidth="1"/>
    <x:col min="2" max="2" width="36" hidden="0" customWidth="1"/>
    <x:col min="3" max="3" width="12" hidden="0" customWidth="1"/>
    <x:col min="4" max="4" width="14" hidden="0" customWidth="1"/>
    <x:col min="5" max="5" width="37" hidden="0" customWidth="1"/>
    <x:col min="6" max="6" width="39" hidden="0" customWidth="1"/>
    <x:col min="7" max="7" width="16" hidden="0" customWidth="1"/>
    <x:col min="8" max="8" width="15" hidden="0" customWidth="1"/>
    <x:col min="9" max="9" width="9" hidden="0" customWidth="1"/>
  </x:cols>
  <x:sheetData>
    <x:row r="1" ht="32" customHeight="1">
      <x:c r="A1" s="3" t="str">
        <x:v>FINAL RÉSUMÉ COMPANY RANKING | OCTOBER 26, 2026</x:v>
      </x:c>
      <x:c r="B1" s="3"/>
      <x:c r="C1" s="3"/>
      <x:c r="D1" s="3"/>
      <x:c r="E1" s="3"/>
      <x:c r="F1" s="3"/>
      <x:c r="G1" s="3"/>
      <x:c r="H1" s="3"/>
      <x:c r="I1" s="3"/>
    </x:row>
    <x:row r="2" ht="24" customHeight="1">
      <x:c r="A2" s="8" t="str">
        <x:v>This comparison was commissioned by Keith Lawrence Miller, owner of Ivy League Résumés, one of the companies evaluated. AI-assisted public-source research and editorial scoring were used. It is not an independent consumer-testing study. No service was purchased or company contacted for this comparison.</x:v>
      </x:c>
      <x:c r="B2" s="8"/>
      <x:c r="C2" s="8"/>
      <x:c r="D2" s="8"/>
      <x:c r="E2" s="8"/>
      <x:c r="F2" s="8"/>
      <x:c r="G2" s="8"/>
      <x:c r="H2" s="8"/>
      <x:c r="I2" s="8"/>
    </x:row>
    <x:row r="3" ht="24" customHeight="1">
      <x:c r="A3" s="8"/>
      <x:c r="B3" s="8"/>
      <x:c r="C3" s="8"/>
      <x:c r="D3" s="8"/>
      <x:c r="E3" s="8"/>
      <x:c r="F3" s="8"/>
      <x:c r="G3" s="8"/>
      <x:c r="H3" s="8"/>
      <x:c r="I3" s="8"/>
    </x:row>
    <x:row r="5" ht="34" customHeight="1">
      <x:c r="A5" s="12" t="str">
        <x:v>Rank</x:v>
      </x:c>
      <x:c r="B5" s="12" t="str">
        <x:v>Company</x:v>
      </x:c>
      <x:c r="C5" s="12" t="str">
        <x:v>Score /100</x:v>
      </x:c>
      <x:c r="D5" s="12" t="str">
        <x:v>W–L–T</x:v>
      </x:c>
      <x:c r="E5" s="12" t="str">
        <x:v>Best fit</x:v>
      </x:c>
      <x:c r="F5" s="12" t="str">
        <x:v>Published offer</x:v>
      </x:c>
      <x:c r="G5" s="12" t="str">
        <x:v>Evidence confidence</x:v>
      </x:c>
      <x:c r="H5" s="12" t="str">
        <x:v>Exact arithmetic</x:v>
      </x:c>
      <x:c r="I5" s="12" t="str">
        <x:v>ID</x:v>
      </x:c>
    </x:row>
    <x:row r="6" ht="64" customHeight="1">
      <x:c r="A6" s="44" t="n">
        <x:v>1</x:v>
      </x:c>
      <x:c r="B6" s="44" t="str">
        <x:f>INDEX('Score Inputs'!$B$6:$B$30,MATCH(A6,'Score Inputs'!$P$6:$P$30,0))</x:f>
        <x:v>Ivy League Résumés</x:v>
      </x:c>
      <x:c r="C6" s="45" t="n">
        <x:f>INDEX('Score Inputs'!$M$6:$M$30,MATCH(A6,'Score Inputs'!$P$6:$P$30,0))</x:f>
        <x:v>88</x:v>
      </x:c>
      <x:c r="D6" s="44" t="str">
        <x:f>INDEX('Score Inputs'!$Q$6:$Q$30,MATCH(A6,'Score Inputs'!$P$6:$P$30,0))&amp;"–"&amp;INDEX('Score Inputs'!$R$6:$R$30,MATCH(A6,'Score Inputs'!$P$6:$P$30,0))&amp;"–"&amp;INDEX('Score Inputs'!$S$6:$S$30,MATCH(A6,'Score Inputs'!$P$6:$P$30,0))</x:f>
        <x:v>24–0–0</x:v>
      </x:c>
      <x:c r="E6" s="44" t="str">
        <x:f>INDEX(Profiles!$C$6:$C$30,MATCH(I6,Profiles!$A$6:$A$30,0))</x:f>
        <x:v>Direct expert professional and executive service</x:v>
      </x:c>
      <x:c r="F6" s="44" t="str">
        <x:f>INDEX(Profiles!$D$6:$D$30,MATCH(I6,Profiles!$A$6:$A$30,0))</x:f>
        <x:v>$499.95–$895 published customized tiers</x:v>
      </x:c>
      <x:c r="G6" s="44" t="str">
        <x:f>INDEX('Score Inputs'!$T$6:$T$30,MATCH(A6,'Score Inputs'!$P$6:$P$30,0))</x:f>
        <x:v>Medium</x:v>
      </x:c>
      <x:c r="H6" s="46" t="n">
        <x:f>INDEX('Score Inputs'!$L$6:$L$30,MATCH(A6,'Score Inputs'!$P$6:$P$30,0))</x:f>
        <x:v>88.25</x:v>
      </x:c>
      <x:c r="I6" s="44" t="str">
        <x:f>INDEX('Score Inputs'!$A$6:$A$30,MATCH(A6,'Score Inputs'!$P$6:$P$30,0))</x:f>
        <x:v>C09</x:v>
      </x:c>
    </x:row>
    <x:row r="7" ht="64" customHeight="1">
      <x:c r="A7" s="15" t="n">
        <x:v>2</x:v>
      </x:c>
      <x:c r="B7" s="15" t="str">
        <x:f>INDEX('Score Inputs'!$B$6:$B$30,MATCH(A7,'Score Inputs'!$P$6:$P$30,0))</x:f>
        <x:v>Career Impressions</x:v>
      </x:c>
      <x:c r="C7" s="42" t="n">
        <x:f>INDEX('Score Inputs'!$M$6:$M$30,MATCH(A7,'Score Inputs'!$P$6:$P$30,0))</x:f>
        <x:v>85</x:v>
      </x:c>
      <x:c r="D7" s="15" t="str">
        <x:f>INDEX('Score Inputs'!$Q$6:$Q$30,MATCH(A7,'Score Inputs'!$P$6:$P$30,0))&amp;"–"&amp;INDEX('Score Inputs'!$R$6:$R$30,MATCH(A7,'Score Inputs'!$P$6:$P$30,0))&amp;"–"&amp;INDEX('Score Inputs'!$S$6:$S$30,MATCH(A7,'Score Inputs'!$P$6:$P$30,0))</x:f>
        <x:v>23–1–0</x:v>
      </x:c>
      <x:c r="E7" s="15" t="str">
        <x:f>INDEX(Profiles!$C$6:$C$30,MATCH(I7,Profiles!$A$6:$A$30,0))</x:f>
        <x:v>Direct executive résumé and LinkedIn strategy</x:v>
      </x:c>
      <x:c r="F7" s="15" t="str">
        <x:f>INDEX(Profiles!$D$6:$D$30,MATCH(I7,Profiles!$A$6:$A$30,0))</x:f>
        <x:v>CAD 1,295–2,095 résumé; CAD 1,895–2,695 with LinkedIn</x:v>
      </x:c>
      <x:c r="G7" s="15" t="str">
        <x:f>INDEX('Score Inputs'!$T$6:$T$30,MATCH(A7,'Score Inputs'!$P$6:$P$30,0))</x:f>
        <x:v>Medium</x:v>
      </x:c>
      <x:c r="H7" s="34" t="n">
        <x:f>INDEX('Score Inputs'!$L$6:$L$30,MATCH(A7,'Score Inputs'!$P$6:$P$30,0))</x:f>
        <x:v>84.5</x:v>
      </x:c>
      <x:c r="I7" s="15" t="str">
        <x:f>INDEX('Score Inputs'!$A$6:$A$30,MATCH(A7,'Score Inputs'!$P$6:$P$30,0))</x:f>
        <x:v>C18</x:v>
      </x:c>
    </x:row>
    <x:row r="8" ht="64" customHeight="1">
      <x:c r="A8" s="15" t="n">
        <x:v>3</x:v>
      </x:c>
      <x:c r="B8" s="15" t="str">
        <x:f>INDEX('Score Inputs'!$B$6:$B$30,MATCH(A8,'Score Inputs'!$P$6:$P$30,0))</x:f>
        <x:v>An Expert Resume</x:v>
      </x:c>
      <x:c r="C8" s="42" t="n">
        <x:f>INDEX('Score Inputs'!$M$6:$M$30,MATCH(A8,'Score Inputs'!$P$6:$P$30,0))</x:f>
        <x:v>84</x:v>
      </x:c>
      <x:c r="D8" s="15" t="str">
        <x:f>INDEX('Score Inputs'!$Q$6:$Q$30,MATCH(A8,'Score Inputs'!$P$6:$P$30,0))&amp;"–"&amp;INDEX('Score Inputs'!$R$6:$R$30,MATCH(A8,'Score Inputs'!$P$6:$P$30,0))&amp;"–"&amp;INDEX('Score Inputs'!$S$6:$S$30,MATCH(A8,'Score Inputs'!$P$6:$P$30,0))</x:f>
        <x:v>22–2–0</x:v>
      </x:c>
      <x:c r="E8" s="15" t="str">
        <x:f>INDEX(Profiles!$C$6:$C$30,MATCH(I8,Profiles!$A$6:$A$30,0))</x:f>
        <x:v>Senior technical, healthcare and executive clients</x:v>
      </x:c>
      <x:c r="F8" s="15" t="str">
        <x:f>INDEX(Profiles!$D$6:$D$30,MATCH(I8,Profiles!$A$6:$A$30,0))</x:f>
        <x:v>$1,797 résumé; rush option separate</x:v>
      </x:c>
      <x:c r="G8" s="15" t="str">
        <x:f>INDEX('Score Inputs'!$T$6:$T$30,MATCH(A8,'Score Inputs'!$P$6:$P$30,0))</x:f>
        <x:v>Medium</x:v>
      </x:c>
      <x:c r="H8" s="34" t="n">
        <x:f>INDEX('Score Inputs'!$L$6:$L$30,MATCH(A8,'Score Inputs'!$P$6:$P$30,0))</x:f>
        <x:v>84.25</x:v>
      </x:c>
      <x:c r="I8" s="15" t="str">
        <x:f>INDEX('Score Inputs'!$A$6:$A$30,MATCH(A8,'Score Inputs'!$P$6:$P$30,0))</x:f>
        <x:v>C15</x:v>
      </x:c>
    </x:row>
    <x:row r="9" ht="64" customHeight="1">
      <x:c r="A9" s="15" t="n">
        <x:v>4</x:v>
      </x:c>
      <x:c r="B9" s="15" t="str">
        <x:f>INDEX('Score Inputs'!$B$6:$B$30,MATCH(A9,'Score Inputs'!$P$6:$P$30,0))</x:f>
        <x:v>Distinctive Career Services</x:v>
      </x:c>
      <x:c r="C9" s="42" t="n">
        <x:f>INDEX('Score Inputs'!$M$6:$M$30,MATCH(A9,'Score Inputs'!$P$6:$P$30,0))</x:f>
        <x:v>83</x:v>
      </x:c>
      <x:c r="D9" s="15" t="str">
        <x:f>INDEX('Score Inputs'!$Q$6:$Q$30,MATCH(A9,'Score Inputs'!$P$6:$P$30,0))&amp;"–"&amp;INDEX('Score Inputs'!$R$6:$R$30,MATCH(A9,'Score Inputs'!$P$6:$P$30,0))&amp;"–"&amp;INDEX('Score Inputs'!$S$6:$S$30,MATCH(A9,'Score Inputs'!$P$6:$P$30,0))</x:f>
        <x:v>21–3–0</x:v>
      </x:c>
      <x:c r="E9" s="15" t="str">
        <x:f>INDEX(Profiles!$C$6:$C$30,MATCH(I9,Profiles!$A$6:$A$30,0))</x:f>
        <x:v>Executive branding and complex career narratives</x:v>
      </x:c>
      <x:c r="F9" s="15" t="str">
        <x:f>INDEX(Profiles!$D$6:$D$30,MATCH(I9,Profiles!$A$6:$A$30,0))</x:f>
        <x:v>Individual quote; old guide is not a current fixed price</x:v>
      </x:c>
      <x:c r="G9" s="15" t="str">
        <x:f>INDEX('Score Inputs'!$T$6:$T$30,MATCH(A9,'Score Inputs'!$P$6:$P$30,0))</x:f>
        <x:v>Medium</x:v>
      </x:c>
      <x:c r="H9" s="34" t="n">
        <x:f>INDEX('Score Inputs'!$L$6:$L$30,MATCH(A9,'Score Inputs'!$P$6:$P$30,0))</x:f>
        <x:v>82.75</x:v>
      </x:c>
      <x:c r="I9" s="15" t="str">
        <x:f>INDEX('Score Inputs'!$A$6:$A$30,MATCH(A9,'Score Inputs'!$P$6:$P$30,0))</x:f>
        <x:v>C13</x:v>
      </x:c>
    </x:row>
    <x:row r="10" ht="64" customHeight="1">
      <x:c r="A10" s="15" t="n">
        <x:v>5</x:v>
      </x:c>
      <x:c r="B10" s="15" t="str">
        <x:f>INDEX('Score Inputs'!$B$6:$B$30,MATCH(A10,'Score Inputs'!$P$6:$P$30,0))</x:f>
        <x:v>The Writing Guru</x:v>
      </x:c>
      <x:c r="C10" s="42" t="n">
        <x:f>INDEX('Score Inputs'!$M$6:$M$30,MATCH(A10,'Score Inputs'!$P$6:$P$30,0))</x:f>
        <x:v>83</x:v>
      </x:c>
      <x:c r="D10" s="15" t="str">
        <x:f>INDEX('Score Inputs'!$Q$6:$Q$30,MATCH(A10,'Score Inputs'!$P$6:$P$30,0))&amp;"–"&amp;INDEX('Score Inputs'!$R$6:$R$30,MATCH(A10,'Score Inputs'!$P$6:$P$30,0))&amp;"–"&amp;INDEX('Score Inputs'!$S$6:$S$30,MATCH(A10,'Score Inputs'!$P$6:$P$30,0))</x:f>
        <x:v>20–4–0</x:v>
      </x:c>
      <x:c r="E10" s="15" t="str">
        <x:f>INDEX(Profiles!$C$6:$C$30,MATCH(I10,Profiles!$A$6:$A$30,0))</x:f>
        <x:v>Senior legal, board and C-suite candidates</x:v>
      </x:c>
      <x:c r="F10" s="15" t="str">
        <x:f>INDEX(Profiles!$D$6:$D$30,MATCH(I10,Profiles!$A$6:$A$30,0))</x:f>
        <x:v>$3,995 executive / $4,995 board / $5,995 combined</x:v>
      </x:c>
      <x:c r="G10" s="15" t="str">
        <x:f>INDEX('Score Inputs'!$T$6:$T$30,MATCH(A10,'Score Inputs'!$P$6:$P$30,0))</x:f>
        <x:v>Medium</x:v>
      </x:c>
      <x:c r="H10" s="34" t="n">
        <x:f>INDEX('Score Inputs'!$L$6:$L$30,MATCH(A10,'Score Inputs'!$P$6:$P$30,0))</x:f>
        <x:v>82.5</x:v>
      </x:c>
      <x:c r="I10" s="15" t="str">
        <x:f>INDEX('Score Inputs'!$A$6:$A$30,MATCH(A10,'Score Inputs'!$P$6:$P$30,0))</x:f>
        <x:v>C17</x:v>
      </x:c>
    </x:row>
    <x:row r="11" ht="64" customHeight="1">
      <x:c r="A11" s="15" t="n">
        <x:v>6</x:v>
      </x:c>
      <x:c r="B11" s="15" t="str">
        <x:f>INDEX('Score Inputs'!$B$6:$B$30,MATCH(A11,'Score Inputs'!$P$6:$P$30,0))</x:f>
        <x:v>Career Steering</x:v>
      </x:c>
      <x:c r="C11" s="42" t="n">
        <x:f>INDEX('Score Inputs'!$M$6:$M$30,MATCH(A11,'Score Inputs'!$P$6:$P$30,0))</x:f>
        <x:v>82</x:v>
      </x:c>
      <x:c r="D11" s="15" t="str">
        <x:f>INDEX('Score Inputs'!$Q$6:$Q$30,MATCH(A11,'Score Inputs'!$P$6:$P$30,0))&amp;"–"&amp;INDEX('Score Inputs'!$R$6:$R$30,MATCH(A11,'Score Inputs'!$P$6:$P$30,0))&amp;"–"&amp;INDEX('Score Inputs'!$S$6:$S$30,MATCH(A11,'Score Inputs'!$P$6:$P$30,0))</x:f>
        <x:v>19–5–0</x:v>
      </x:c>
      <x:c r="E11" s="15" t="str">
        <x:f>INDEX(Profiles!$C$6:$C$30,MATCH(I11,Profiles!$A$6:$A$30,0))</x:f>
        <x:v>C-suite and senior executive direct authorship</x:v>
      </x:c>
      <x:c r="F11" s="15" t="str">
        <x:f>INDEX(Profiles!$D$6:$D$30,MATCH(I11,Profiles!$A$6:$A$30,0))</x:f>
        <x:v>$1,695 résumé; $2,595 / $3,495 broader retained offers</x:v>
      </x:c>
      <x:c r="G11" s="15" t="str">
        <x:f>INDEX('Score Inputs'!$T$6:$T$30,MATCH(A11,'Score Inputs'!$P$6:$P$30,0))</x:f>
        <x:v>Medium</x:v>
      </x:c>
      <x:c r="H11" s="34" t="n">
        <x:f>INDEX('Score Inputs'!$L$6:$L$30,MATCH(A11,'Score Inputs'!$P$6:$P$30,0))</x:f>
        <x:v>82.25</x:v>
      </x:c>
      <x:c r="I11" s="15" t="str">
        <x:f>INDEX('Score Inputs'!$A$6:$A$30,MATCH(A11,'Score Inputs'!$P$6:$P$30,0))</x:f>
        <x:v>C20</x:v>
      </x:c>
    </x:row>
    <x:row r="12" ht="64" customHeight="1">
      <x:c r="A12" s="15" t="n">
        <x:v>7</x:v>
      </x:c>
      <x:c r="B12" s="15" t="str">
        <x:f>INDEX('Score Inputs'!$B$6:$B$30,MATCH(A12,'Score Inputs'!$P$6:$P$30,0))</x:f>
        <x:v>ResumeSpice</x:v>
      </x:c>
      <x:c r="C12" s="42" t="n">
        <x:f>INDEX('Score Inputs'!$M$6:$M$30,MATCH(A12,'Score Inputs'!$P$6:$P$30,0))</x:f>
        <x:v>82</x:v>
      </x:c>
      <x:c r="D12" s="15" t="str">
        <x:f>INDEX('Score Inputs'!$Q$6:$Q$30,MATCH(A12,'Score Inputs'!$P$6:$P$30,0))&amp;"–"&amp;INDEX('Score Inputs'!$R$6:$R$30,MATCH(A12,'Score Inputs'!$P$6:$P$30,0))&amp;"–"&amp;INDEX('Score Inputs'!$S$6:$S$30,MATCH(A12,'Score Inputs'!$P$6:$P$30,0))</x:f>
        <x:v>18–6–0</x:v>
      </x:c>
      <x:c r="E12" s="15" t="str">
        <x:f>INDEX(Profiles!$C$6:$C$30,MATCH(I12,Profiles!$A$6:$A$30,0))</x:f>
        <x:v>Consultation-led professional and executive writing</x:v>
      </x:c>
      <x:c r="F12" s="15" t="str">
        <x:f>INDEX(Profiles!$D$6:$D$30,MATCH(I12,Profiles!$A$6:$A$30,0))</x:f>
        <x:v>$479 entry; $589 professional; $699 executive résumé</x:v>
      </x:c>
      <x:c r="G12" s="15" t="str">
        <x:f>INDEX('Score Inputs'!$T$6:$T$30,MATCH(A12,'Score Inputs'!$P$6:$P$30,0))</x:f>
        <x:v>Medium</x:v>
      </x:c>
      <x:c r="H12" s="34" t="n">
        <x:f>INDEX('Score Inputs'!$L$6:$L$30,MATCH(A12,'Score Inputs'!$P$6:$P$30,0))</x:f>
        <x:v>82</x:v>
      </x:c>
      <x:c r="I12" s="15" t="str">
        <x:f>INDEX('Score Inputs'!$A$6:$A$30,MATCH(A12,'Score Inputs'!$P$6:$P$30,0))</x:f>
        <x:v>C05</x:v>
      </x:c>
    </x:row>
    <x:row r="13" ht="64" customHeight="1">
      <x:c r="A13" s="15" t="n">
        <x:v>8</x:v>
      </x:c>
      <x:c r="B13" s="15" t="str">
        <x:f>INDEX('Score Inputs'!$B$6:$B$30,MATCH(A13,'Score Inputs'!$P$6:$P$30,0))</x:f>
        <x:v>Find My Profession</x:v>
      </x:c>
      <x:c r="C13" s="42" t="n">
        <x:f>INDEX('Score Inputs'!$M$6:$M$30,MATCH(A13,'Score Inputs'!$P$6:$P$30,0))</x:f>
        <x:v>81</x:v>
      </x:c>
      <x:c r="D13" s="15" t="str">
        <x:f>INDEX('Score Inputs'!$Q$6:$Q$30,MATCH(A13,'Score Inputs'!$P$6:$P$30,0))&amp;"–"&amp;INDEX('Score Inputs'!$R$6:$R$30,MATCH(A13,'Score Inputs'!$P$6:$P$30,0))&amp;"–"&amp;INDEX('Score Inputs'!$S$6:$S$30,MATCH(A13,'Score Inputs'!$P$6:$P$30,0))</x:f>
        <x:v>17–7–0</x:v>
      </x:c>
      <x:c r="E13" s="15" t="str">
        <x:f>INDEX(Profiles!$C$6:$C$30,MATCH(I13,Profiles!$A$6:$A$30,0))</x:f>
        <x:v>Professionals and managers</x:v>
      </x:c>
      <x:c r="F13" s="15" t="str">
        <x:f>INDEX(Profiles!$D$6:$D$30,MATCH(I13,Profiles!$A$6:$A$30,0))</x:f>
        <x:v>$595 résumé; $895 résumé + cover letter + LinkedIn</x:v>
      </x:c>
      <x:c r="G13" s="15" t="str">
        <x:f>INDEX('Score Inputs'!$T$6:$T$30,MATCH(A13,'Score Inputs'!$P$6:$P$30,0))</x:f>
        <x:v>Medium</x:v>
      </x:c>
      <x:c r="H13" s="34" t="n">
        <x:f>INDEX('Score Inputs'!$L$6:$L$30,MATCH(A13,'Score Inputs'!$P$6:$P$30,0))</x:f>
        <x:v>80.75</x:v>
      </x:c>
      <x:c r="I13" s="15" t="str">
        <x:f>INDEX('Score Inputs'!$A$6:$A$30,MATCH(A13,'Score Inputs'!$P$6:$P$30,0))</x:f>
        <x:v>C02</x:v>
      </x:c>
    </x:row>
    <x:row r="14" ht="64" customHeight="1">
      <x:c r="A14" s="15" t="n">
        <x:v>9</x:v>
      </x:c>
      <x:c r="B14" s="15" t="str">
        <x:f>INDEX('Score Inputs'!$B$6:$B$30,MATCH(A14,'Score Inputs'!$P$6:$P$30,0))</x:f>
        <x:v>Employment BOOST</x:v>
      </x:c>
      <x:c r="C14" s="42" t="n">
        <x:f>INDEX('Score Inputs'!$M$6:$M$30,MATCH(A14,'Score Inputs'!$P$6:$P$30,0))</x:f>
        <x:v>81</x:v>
      </x:c>
      <x:c r="D14" s="15" t="str">
        <x:f>INDEX('Score Inputs'!$Q$6:$Q$30,MATCH(A14,'Score Inputs'!$P$6:$P$30,0))&amp;"–"&amp;INDEX('Score Inputs'!$R$6:$R$30,MATCH(A14,'Score Inputs'!$P$6:$P$30,0))&amp;"–"&amp;INDEX('Score Inputs'!$S$6:$S$30,MATCH(A14,'Score Inputs'!$P$6:$P$30,0))</x:f>
        <x:v>13–8–3</x:v>
      </x:c>
      <x:c r="E14" s="15" t="str">
        <x:f>INDEX(Profiles!$C$6:$C$30,MATCH(I14,Profiles!$A$6:$A$30,0))</x:f>
        <x:v>Team-based writing with outplacement support</x:v>
      </x:c>
      <x:c r="F14" s="15" t="str">
        <x:f>INDEX(Profiles!$D$6:$D$30,MATCH(I14,Profiles!$A$6:$A$30,0))</x:f>
        <x:v>$749 executive résumé + cover-letter package</x:v>
      </x:c>
      <x:c r="G14" s="15" t="str">
        <x:f>INDEX('Score Inputs'!$T$6:$T$30,MATCH(A14,'Score Inputs'!$P$6:$P$30,0))</x:f>
        <x:v>Medium</x:v>
      </x:c>
      <x:c r="H14" s="34" t="n">
        <x:f>INDEX('Score Inputs'!$L$6:$L$30,MATCH(A14,'Score Inputs'!$P$6:$P$30,0))</x:f>
        <x:v>80.5</x:v>
      </x:c>
      <x:c r="I14" s="15" t="str">
        <x:f>INDEX('Score Inputs'!$A$6:$A$30,MATCH(A14,'Score Inputs'!$P$6:$P$30,0))</x:f>
        <x:v>C25</x:v>
      </x:c>
    </x:row>
    <x:row r="15" ht="64" customHeight="1">
      <x:c r="A15" s="15" t="n">
        <x:v>10</x:v>
      </x:c>
      <x:c r="B15" s="15" t="str">
        <x:f>INDEX('Score Inputs'!$B$6:$B$30,MATCH(A15,'Score Inputs'!$P$6:$P$30,0))</x:f>
        <x:v>JobStars USA</x:v>
      </x:c>
      <x:c r="C15" s="42" t="n">
        <x:f>INDEX('Score Inputs'!$M$6:$M$30,MATCH(A15,'Score Inputs'!$P$6:$P$30,0))</x:f>
        <x:v>81</x:v>
      </x:c>
      <x:c r="D15" s="15" t="str">
        <x:f>INDEX('Score Inputs'!$Q$6:$Q$30,MATCH(A15,'Score Inputs'!$P$6:$P$30,0))&amp;"–"&amp;INDEX('Score Inputs'!$R$6:$R$30,MATCH(A15,'Score Inputs'!$P$6:$P$30,0))&amp;"–"&amp;INDEX('Score Inputs'!$S$6:$S$30,MATCH(A15,'Score Inputs'!$P$6:$P$30,0))</x:f>
        <x:v>13–8–3</x:v>
      </x:c>
      <x:c r="E15" s="15" t="str">
        <x:f>INDEX(Profiles!$C$6:$C$30,MATCH(I15,Profiles!$A$6:$A$30,0))</x:f>
        <x:v>Clients valuing extended collaboration</x:v>
      </x:c>
      <x:c r="F15" s="15" t="str">
        <x:f>INDEX(Profiles!$D$6:$D$30,MATCH(I15,Profiles!$A$6:$A$30,0))</x:f>
        <x:v>$495–$895 Bronze; broader tiers up to $1,495</x:v>
      </x:c>
      <x:c r="G15" s="15" t="str">
        <x:f>INDEX('Score Inputs'!$T$6:$T$30,MATCH(A15,'Score Inputs'!$P$6:$P$30,0))</x:f>
        <x:v>Medium</x:v>
      </x:c>
      <x:c r="H15" s="34" t="n">
        <x:f>INDEX('Score Inputs'!$L$6:$L$30,MATCH(A15,'Score Inputs'!$P$6:$P$30,0))</x:f>
        <x:v>80.5</x:v>
      </x:c>
      <x:c r="I15" s="15" t="str">
        <x:f>INDEX('Score Inputs'!$A$6:$A$30,MATCH(A15,'Score Inputs'!$P$6:$P$30,0))</x:f>
        <x:v>C10</x:v>
      </x:c>
    </x:row>
    <x:row r="16" ht="64" customHeight="1">
      <x:c r="A16" s="15" t="n">
        <x:v>11</x:v>
      </x:c>
      <x:c r="B16" s="15" t="str">
        <x:f>INDEX('Score Inputs'!$B$6:$B$30,MATCH(A16,'Score Inputs'!$P$6:$P$30,0))</x:f>
        <x:v>Great Resumes Fast</x:v>
      </x:c>
      <x:c r="C16" s="42" t="n">
        <x:f>INDEX('Score Inputs'!$M$6:$M$30,MATCH(A16,'Score Inputs'!$P$6:$P$30,0))</x:f>
        <x:v>81</x:v>
      </x:c>
      <x:c r="D16" s="15" t="str">
        <x:f>INDEX('Score Inputs'!$Q$6:$Q$30,MATCH(A16,'Score Inputs'!$P$6:$P$30,0))&amp;"–"&amp;INDEX('Score Inputs'!$R$6:$R$30,MATCH(A16,'Score Inputs'!$P$6:$P$30,0))&amp;"–"&amp;INDEX('Score Inputs'!$S$6:$S$30,MATCH(A16,'Score Inputs'!$P$6:$P$30,0))</x:f>
        <x:v>13–8–3</x:v>
      </x:c>
      <x:c r="E16" s="15" t="str">
        <x:f>INDEX(Profiles!$C$6:$C$30,MATCH(I16,Profiles!$A$6:$A$30,0))</x:f>
        <x:v>Executive positioning with a specialist team</x:v>
      </x:c>
      <x:c r="F16" s="15" t="str">
        <x:f>INDEX(Profiles!$D$6:$D$30,MATCH(I16,Profiles!$A$6:$A$30,0))</x:f>
        <x:v>$895–$1,095 résumé; $1,395–$1,695 branding ranges</x:v>
      </x:c>
      <x:c r="G16" s="15" t="str">
        <x:f>INDEX('Score Inputs'!$T$6:$T$30,MATCH(A16,'Score Inputs'!$P$6:$P$30,0))</x:f>
        <x:v>Medium</x:v>
      </x:c>
      <x:c r="H16" s="34" t="n">
        <x:f>INDEX('Score Inputs'!$L$6:$L$30,MATCH(A16,'Score Inputs'!$P$6:$P$30,0))</x:f>
        <x:v>80.5</x:v>
      </x:c>
      <x:c r="I16" s="15" t="str">
        <x:f>INDEX('Score Inputs'!$A$6:$A$30,MATCH(A16,'Score Inputs'!$P$6:$P$30,0))</x:f>
        <x:v>C06</x:v>
      </x:c>
    </x:row>
    <x:row r="17" ht="64" customHeight="1">
      <x:c r="A17" s="15" t="n">
        <x:v>12</x:v>
      </x:c>
      <x:c r="B17" s="15" t="str">
        <x:f>INDEX('Score Inputs'!$B$6:$B$30,MATCH(A17,'Score Inputs'!$P$6:$P$30,0))</x:f>
        <x:v>iCareerSolutions</x:v>
      </x:c>
      <x:c r="C17" s="42" t="n">
        <x:f>INDEX('Score Inputs'!$M$6:$M$30,MATCH(A17,'Score Inputs'!$P$6:$P$30,0))</x:f>
        <x:v>81</x:v>
      </x:c>
      <x:c r="D17" s="15" t="str">
        <x:f>INDEX('Score Inputs'!$Q$6:$Q$30,MATCH(A17,'Score Inputs'!$P$6:$P$30,0))&amp;"–"&amp;INDEX('Score Inputs'!$R$6:$R$30,MATCH(A17,'Score Inputs'!$P$6:$P$30,0))&amp;"–"&amp;INDEX('Score Inputs'!$S$6:$S$30,MATCH(A17,'Score Inputs'!$P$6:$P$30,0))</x:f>
        <x:v>13–8–3</x:v>
      </x:c>
      <x:c r="E17" s="15" t="str">
        <x:f>INDEX(Profiles!$C$6:$C$30,MATCH(I17,Profiles!$A$6:$A$30,0))</x:f>
        <x:v>Technology and executive career positioning</x:v>
      </x:c>
      <x:c r="F17" s="15" t="str">
        <x:f>INDEX(Profiles!$D$6:$D$30,MATCH(I17,Profiles!$A$6:$A$30,0))</x:f>
        <x:v>$495 / $795 / $1,295 professional tiers</x:v>
      </x:c>
      <x:c r="G17" s="15" t="str">
        <x:f>INDEX('Score Inputs'!$T$6:$T$30,MATCH(A17,'Score Inputs'!$P$6:$P$30,0))</x:f>
        <x:v>Medium</x:v>
      </x:c>
      <x:c r="H17" s="34" t="n">
        <x:f>INDEX('Score Inputs'!$L$6:$L$30,MATCH(A17,'Score Inputs'!$P$6:$P$30,0))</x:f>
        <x:v>80.5</x:v>
      </x:c>
      <x:c r="I17" s="15" t="str">
        <x:f>INDEX('Score Inputs'!$A$6:$A$30,MATCH(A17,'Score Inputs'!$P$6:$P$30,0))</x:f>
        <x:v>C12</x:v>
      </x:c>
    </x:row>
    <x:row r="18" ht="64" customHeight="1">
      <x:c r="A18" s="15" t="n">
        <x:v>13</x:v>
      </x:c>
      <x:c r="B18" s="15" t="str">
        <x:f>INDEX('Score Inputs'!$B$6:$B$30,MATCH(A18,'Score Inputs'!$P$6:$P$30,0))</x:f>
        <x:v>Let’s Eat, Grandma</x:v>
      </x:c>
      <x:c r="C18" s="42" t="n">
        <x:f>INDEX('Score Inputs'!$M$6:$M$30,MATCH(A18,'Score Inputs'!$P$6:$P$30,0))</x:f>
        <x:v>80</x:v>
      </x:c>
      <x:c r="D18" s="15" t="str">
        <x:f>INDEX('Score Inputs'!$Q$6:$Q$30,MATCH(A18,'Score Inputs'!$P$6:$P$30,0))&amp;"–"&amp;INDEX('Score Inputs'!$R$6:$R$30,MATCH(A18,'Score Inputs'!$P$6:$P$30,0))&amp;"–"&amp;INDEX('Score Inputs'!$S$6:$S$30,MATCH(A18,'Score Inputs'!$P$6:$P$30,0))</x:f>
        <x:v>12–12–0</x:v>
      </x:c>
      <x:c r="E18" s="15" t="str">
        <x:f>INDEX(Profiles!$C$6:$C$30,MATCH(I18,Profiles!$A$6:$A$30,0))</x:f>
        <x:v>Midcareer and career change</x:v>
      </x:c>
      <x:c r="F18" s="15" t="str">
        <x:f>INDEX(Profiles!$D$6:$D$30,MATCH(I18,Profiles!$A$6:$A$30,0))</x:f>
        <x:v>$439 Starter; $689 Premium; $889 Transform</x:v>
      </x:c>
      <x:c r="G18" s="15" t="str">
        <x:f>INDEX('Score Inputs'!$T$6:$T$30,MATCH(A18,'Score Inputs'!$P$6:$P$30,0))</x:f>
        <x:v>Medium</x:v>
      </x:c>
      <x:c r="H18" s="34" t="n">
        <x:f>INDEX('Score Inputs'!$L$6:$L$30,MATCH(A18,'Score Inputs'!$P$6:$P$30,0))</x:f>
        <x:v>80.25</x:v>
      </x:c>
      <x:c r="I18" s="15" t="str">
        <x:f>INDEX('Score Inputs'!$A$6:$A$30,MATCH(A18,'Score Inputs'!$P$6:$P$30,0))</x:f>
        <x:v>C01</x:v>
      </x:c>
    </x:row>
    <x:row r="19" ht="64" customHeight="1">
      <x:c r="A19" s="15" t="n">
        <x:v>14</x:v>
      </x:c>
      <x:c r="B19" s="15" t="str">
        <x:f>INDEX('Score Inputs'!$B$6:$B$30,MATCH(A19,'Score Inputs'!$P$6:$P$30,0))</x:f>
        <x:v>Briefcase Coach</x:v>
      </x:c>
      <x:c r="C19" s="42" t="n">
        <x:f>INDEX('Score Inputs'!$M$6:$M$30,MATCH(A19,'Score Inputs'!$P$6:$P$30,0))</x:f>
        <x:v>79</x:v>
      </x:c>
      <x:c r="D19" s="15" t="str">
        <x:f>INDEX('Score Inputs'!$Q$6:$Q$30,MATCH(A19,'Score Inputs'!$P$6:$P$30,0))&amp;"–"&amp;INDEX('Score Inputs'!$R$6:$R$30,MATCH(A19,'Score Inputs'!$P$6:$P$30,0))&amp;"–"&amp;INDEX('Score Inputs'!$S$6:$S$30,MATCH(A19,'Score Inputs'!$P$6:$P$30,0))</x:f>
        <x:v>10–13–1</x:v>
      </x:c>
      <x:c r="E19" s="15" t="str">
        <x:f>INDEX(Profiles!$C$6:$C$30,MATCH(I19,Profiles!$A$6:$A$30,0))</x:f>
        <x:v>Senior executive research-led branding</x:v>
      </x:c>
      <x:c r="F19" s="15" t="str">
        <x:f>INDEX(Profiles!$D$6:$D$30,MATCH(I19,Profiles!$A$6:$A$30,0))</x:f>
        <x:v>$1,500–$3,200 résumé; broader engagements to $3,900</x:v>
      </x:c>
      <x:c r="G19" s="15" t="str">
        <x:f>INDEX('Score Inputs'!$T$6:$T$30,MATCH(A19,'Score Inputs'!$P$6:$P$30,0))</x:f>
        <x:v>Medium</x:v>
      </x:c>
      <x:c r="H19" s="34" t="n">
        <x:f>INDEX('Score Inputs'!$L$6:$L$30,MATCH(A19,'Score Inputs'!$P$6:$P$30,0))</x:f>
        <x:v>79.25</x:v>
      </x:c>
      <x:c r="I19" s="15" t="str">
        <x:f>INDEX('Score Inputs'!$A$6:$A$30,MATCH(A19,'Score Inputs'!$P$6:$P$30,0))</x:f>
        <x:v>C22</x:v>
      </x:c>
    </x:row>
    <x:row r="20" ht="64" customHeight="1">
      <x:c r="A20" s="15" t="n">
        <x:v>15</x:v>
      </x:c>
      <x:c r="B20" s="15" t="str">
        <x:f>INDEX('Score Inputs'!$B$6:$B$30,MATCH(A20,'Score Inputs'!$P$6:$P$30,0))</x:f>
        <x:v>Blue Sky Resumes</x:v>
      </x:c>
      <x:c r="C20" s="42" t="n">
        <x:f>INDEX('Score Inputs'!$M$6:$M$30,MATCH(A20,'Score Inputs'!$P$6:$P$30,0))</x:f>
        <x:v>79</x:v>
      </x:c>
      <x:c r="D20" s="15" t="str">
        <x:f>INDEX('Score Inputs'!$Q$6:$Q$30,MATCH(A20,'Score Inputs'!$P$6:$P$30,0))&amp;"–"&amp;INDEX('Score Inputs'!$R$6:$R$30,MATCH(A20,'Score Inputs'!$P$6:$P$30,0))&amp;"–"&amp;INDEX('Score Inputs'!$S$6:$S$30,MATCH(A20,'Score Inputs'!$P$6:$P$30,0))</x:f>
        <x:v>10–13–1</x:v>
      </x:c>
      <x:c r="E20" s="15" t="str">
        <x:f>INDEX(Profiles!$C$6:$C$30,MATCH(I20,Profiles!$A$6:$A$30,0))</x:f>
        <x:v>Professional, creative and executive careers</x:v>
      </x:c>
      <x:c r="F20" s="15" t="str">
        <x:f>INDEX(Profiles!$D$6:$D$30,MATCH(I20,Profiles!$A$6:$A$30,0))</x:f>
        <x:v>Professional from $395; executive from $695</x:v>
      </x:c>
      <x:c r="G20" s="15" t="str">
        <x:f>INDEX('Score Inputs'!$T$6:$T$30,MATCH(A20,'Score Inputs'!$P$6:$P$30,0))</x:f>
        <x:v>Low</x:v>
      </x:c>
      <x:c r="H20" s="34" t="n">
        <x:f>INDEX('Score Inputs'!$L$6:$L$30,MATCH(A20,'Score Inputs'!$P$6:$P$30,0))</x:f>
        <x:v>79.25</x:v>
      </x:c>
      <x:c r="I20" s="15" t="str">
        <x:f>INDEX('Score Inputs'!$A$6:$A$30,MATCH(A20,'Score Inputs'!$P$6:$P$30,0))</x:f>
        <x:v>C21</x:v>
      </x:c>
    </x:row>
    <x:row r="21" ht="64" customHeight="1">
      <x:c r="A21" s="15" t="n">
        <x:v>16</x:v>
      </x:c>
      <x:c r="B21" s="15" t="str">
        <x:f>INDEX('Score Inputs'!$B$6:$B$30,MATCH(A21,'Score Inputs'!$P$6:$P$30,0))</x:f>
        <x:v>CareerProPlus / CareerPro Global</x:v>
      </x:c>
      <x:c r="C21" s="42" t="n">
        <x:f>INDEX('Score Inputs'!$M$6:$M$30,MATCH(A21,'Score Inputs'!$P$6:$P$30,0))</x:f>
        <x:v>78</x:v>
      </x:c>
      <x:c r="D21" s="15" t="str">
        <x:f>INDEX('Score Inputs'!$Q$6:$Q$30,MATCH(A21,'Score Inputs'!$P$6:$P$30,0))&amp;"–"&amp;INDEX('Score Inputs'!$R$6:$R$30,MATCH(A21,'Score Inputs'!$P$6:$P$30,0))&amp;"–"&amp;INDEX('Score Inputs'!$S$6:$S$30,MATCH(A21,'Score Inputs'!$P$6:$P$30,0))</x:f>
        <x:v>9–15–0</x:v>
      </x:c>
      <x:c r="E21" s="15" t="str">
        <x:f>INDEX(Profiles!$C$6:$C$30,MATCH(I21,Profiles!$A$6:$A$30,0))</x:f>
        <x:v>Federal, military and SES transitions</x:v>
      </x:c>
      <x:c r="F21" s="15" t="str">
        <x:f>INDEX(Profiles!$D$6:$D$30,MATCH(I21,Profiles!$A$6:$A$30,0))</x:f>
        <x:v>Custom quote; no current official total recovered</x:v>
      </x:c>
      <x:c r="G21" s="15" t="str">
        <x:f>INDEX('Score Inputs'!$T$6:$T$30,MATCH(A21,'Score Inputs'!$P$6:$P$30,0))</x:f>
        <x:v>Low</x:v>
      </x:c>
      <x:c r="H21" s="34" t="n">
        <x:f>INDEX('Score Inputs'!$L$6:$L$30,MATCH(A21,'Score Inputs'!$P$6:$P$30,0))</x:f>
        <x:v>77.5</x:v>
      </x:c>
      <x:c r="I21" s="15" t="str">
        <x:f>INDEX('Score Inputs'!$A$6:$A$30,MATCH(A21,'Score Inputs'!$P$6:$P$30,0))</x:f>
        <x:v>C19</x:v>
      </x:c>
    </x:row>
    <x:row r="22" ht="64" customHeight="1">
      <x:c r="A22" s="15" t="n">
        <x:v>17</x:v>
      </x:c>
      <x:c r="B22" s="15" t="str">
        <x:f>INDEX('Score Inputs'!$B$6:$B$30,MATCH(A22,'Score Inputs'!$P$6:$P$30,0))</x:f>
        <x:v>Scientech Resumes / Scientech Career Systems</x:v>
      </x:c>
      <x:c r="C22" s="42" t="n">
        <x:f>INDEX('Score Inputs'!$M$6:$M$30,MATCH(A22,'Score Inputs'!$P$6:$P$30,0))</x:f>
        <x:v>77</x:v>
      </x:c>
      <x:c r="D22" s="15" t="str">
        <x:f>INDEX('Score Inputs'!$Q$6:$Q$30,MATCH(A22,'Score Inputs'!$P$6:$P$30,0))&amp;"–"&amp;INDEX('Score Inputs'!$R$6:$R$30,MATCH(A22,'Score Inputs'!$P$6:$P$30,0))&amp;"–"&amp;INDEX('Score Inputs'!$S$6:$S$30,MATCH(A22,'Score Inputs'!$P$6:$P$30,0))</x:f>
        <x:v>8–16–0</x:v>
      </x:c>
      <x:c r="E22" s="15" t="str">
        <x:f>INDEX(Profiles!$C$6:$C$30,MATCH(I22,Profiles!$A$6:$A$30,0))</x:f>
        <x:v>STEM, scientific and technical careers</x:v>
      </x:c>
      <x:c r="F22" s="15" t="str">
        <x:f>INDEX(Profiles!$D$6:$D$30,MATCH(I22,Profiles!$A$6:$A$30,0))</x:f>
        <x:v>Custom quote; unpublished base price not estimated</x:v>
      </x:c>
      <x:c r="G22" s="15" t="str">
        <x:f>INDEX('Score Inputs'!$T$6:$T$30,MATCH(A22,'Score Inputs'!$P$6:$P$30,0))</x:f>
        <x:v>Low</x:v>
      </x:c>
      <x:c r="H22" s="34" t="n">
        <x:f>INDEX('Score Inputs'!$L$6:$L$30,MATCH(A22,'Score Inputs'!$P$6:$P$30,0))</x:f>
        <x:v>77.25</x:v>
      </x:c>
      <x:c r="I22" s="15" t="str">
        <x:f>INDEX('Score Inputs'!$A$6:$A$30,MATCH(A22,'Score Inputs'!$P$6:$P$30,0))</x:f>
        <x:v>C24</x:v>
      </x:c>
    </x:row>
    <x:row r="23" ht="64" customHeight="1">
      <x:c r="A23" s="15" t="n">
        <x:v>18</x:v>
      </x:c>
      <x:c r="B23" s="15" t="str">
        <x:f>INDEX('Score Inputs'!$B$6:$B$30,MATCH(A23,'Score Inputs'!$P$6:$P$30,0))</x:f>
        <x:v>TopStack Resume</x:v>
      </x:c>
      <x:c r="C23" s="42" t="n">
        <x:f>INDEX('Score Inputs'!$M$6:$M$30,MATCH(A23,'Score Inputs'!$P$6:$P$30,0))</x:f>
        <x:v>77</x:v>
      </x:c>
      <x:c r="D23" s="15" t="str">
        <x:f>INDEX('Score Inputs'!$Q$6:$Q$30,MATCH(A23,'Score Inputs'!$P$6:$P$30,0))&amp;"–"&amp;INDEX('Score Inputs'!$R$6:$R$30,MATCH(A23,'Score Inputs'!$P$6:$P$30,0))&amp;"–"&amp;INDEX('Score Inputs'!$S$6:$S$30,MATCH(A23,'Score Inputs'!$P$6:$P$30,0))</x:f>
        <x:v>6–17–1</x:v>
      </x:c>
      <x:c r="E23" s="15" t="str">
        <x:f>INDEX(Profiles!$C$6:$C$30,MATCH(I23,Profiles!$A$6:$A$30,0))</x:f>
        <x:v>Budget-conscious and early-career buyers</x:v>
      </x:c>
      <x:c r="F23" s="15" t="str">
        <x:f>INDEX(Profiles!$D$6:$D$30,MATCH(I23,Profiles!$A$6:$A$30,0))</x:f>
        <x:v>$189 Launch; $279 Propel; optional call +$40</x:v>
      </x:c>
      <x:c r="G23" s="15" t="str">
        <x:f>INDEX('Score Inputs'!$T$6:$T$30,MATCH(A23,'Score Inputs'!$P$6:$P$30,0))</x:f>
        <x:v>Medium</x:v>
      </x:c>
      <x:c r="H23" s="34" t="n">
        <x:f>INDEX('Score Inputs'!$L$6:$L$30,MATCH(A23,'Score Inputs'!$P$6:$P$30,0))</x:f>
        <x:v>76.75</x:v>
      </x:c>
      <x:c r="I23" s="15" t="str">
        <x:f>INDEX('Score Inputs'!$A$6:$A$30,MATCH(A23,'Score Inputs'!$P$6:$P$30,0))</x:f>
        <x:v>C03</x:v>
      </x:c>
    </x:row>
    <x:row r="24" ht="64" customHeight="1">
      <x:c r="A24" s="15" t="n">
        <x:v>19</x:v>
      </x:c>
      <x:c r="B24" s="15" t="str">
        <x:f>INDEX('Score Inputs'!$B$6:$B$30,MATCH(A24,'Score Inputs'!$P$6:$P$30,0))</x:f>
        <x:v>The Resume Place</x:v>
      </x:c>
      <x:c r="C24" s="42" t="n">
        <x:f>INDEX('Score Inputs'!$M$6:$M$30,MATCH(A24,'Score Inputs'!$P$6:$P$30,0))</x:f>
        <x:v>77</x:v>
      </x:c>
      <x:c r="D24" s="15" t="str">
        <x:f>INDEX('Score Inputs'!$Q$6:$Q$30,MATCH(A24,'Score Inputs'!$P$6:$P$30,0))&amp;"–"&amp;INDEX('Score Inputs'!$R$6:$R$30,MATCH(A24,'Score Inputs'!$P$6:$P$30,0))&amp;"–"&amp;INDEX('Score Inputs'!$S$6:$S$30,MATCH(A24,'Score Inputs'!$P$6:$P$30,0))</x:f>
        <x:v>6–17–1</x:v>
      </x:c>
      <x:c r="E24" s="15" t="str">
        <x:f>INDEX(Profiles!$C$6:$C$30,MATCH(I24,Profiles!$A$6:$A$30,0))</x:f>
        <x:v>Federal and senior federal applicants</x:v>
      </x:c>
      <x:c r="F24" s="15" t="str">
        <x:f>INDEX(Profiles!$D$6:$D$30,MATCH(I24,Profiles!$A$6:$A$30,0))</x:f>
        <x:v>$210/$260 consultations; complete writing project quoted</x:v>
      </x:c>
      <x:c r="G24" s="15" t="str">
        <x:f>INDEX('Score Inputs'!$T$6:$T$30,MATCH(A24,'Score Inputs'!$P$6:$P$30,0))</x:f>
        <x:v>Low</x:v>
      </x:c>
      <x:c r="H24" s="34" t="n">
        <x:f>INDEX('Score Inputs'!$L$6:$L$30,MATCH(A24,'Score Inputs'!$P$6:$P$30,0))</x:f>
        <x:v>76.75</x:v>
      </x:c>
      <x:c r="I24" s="15" t="str">
        <x:f>INDEX('Score Inputs'!$A$6:$A$30,MATCH(A24,'Score Inputs'!$P$6:$P$30,0))</x:f>
        <x:v>C08</x:v>
      </x:c>
    </x:row>
    <x:row r="25" ht="64" customHeight="1">
      <x:c r="A25" s="15" t="n">
        <x:v>20</x:v>
      </x:c>
      <x:c r="B25" s="15" t="str">
        <x:f>INDEX('Score Inputs'!$B$6:$B$30,MATCH(A25,'Score Inputs'!$P$6:$P$30,0))</x:f>
        <x:v>Klaxos</x:v>
      </x:c>
      <x:c r="C25" s="42" t="n">
        <x:f>INDEX('Score Inputs'!$M$6:$M$30,MATCH(A25,'Score Inputs'!$P$6:$P$30,0))</x:f>
        <x:v>76</x:v>
      </x:c>
      <x:c r="D25" s="15" t="str">
        <x:f>INDEX('Score Inputs'!$Q$6:$Q$30,MATCH(A25,'Score Inputs'!$P$6:$P$30,0))&amp;"–"&amp;INDEX('Score Inputs'!$R$6:$R$30,MATCH(A25,'Score Inputs'!$P$6:$P$30,0))&amp;"–"&amp;INDEX('Score Inputs'!$S$6:$S$30,MATCH(A25,'Score Inputs'!$P$6:$P$30,0))</x:f>
        <x:v>5–19–0</x:v>
      </x:c>
      <x:c r="E25" s="15" t="str">
        <x:f>INDEX(Profiles!$C$6:$C$30,MATCH(I25,Profiles!$A$6:$A$30,0))</x:f>
        <x:v>Founder-led résumé and LinkedIn development</x:v>
      </x:c>
      <x:c r="F25" s="15" t="str">
        <x:f>INDEX(Profiles!$D$6:$D$30,MATCH(I25,Profiles!$A$6:$A$30,0))</x:f>
        <x:v>Professional page displays $1,198–$1,299 figures</x:v>
      </x:c>
      <x:c r="G25" s="15" t="str">
        <x:f>INDEX('Score Inputs'!$T$6:$T$30,MATCH(A25,'Score Inputs'!$P$6:$P$30,0))</x:f>
        <x:v>Low</x:v>
      </x:c>
      <x:c r="H25" s="34" t="n">
        <x:f>INDEX('Score Inputs'!$L$6:$L$30,MATCH(A25,'Score Inputs'!$P$6:$P$30,0))</x:f>
        <x:v>75.75</x:v>
      </x:c>
      <x:c r="I25" s="15" t="str">
        <x:f>INDEX('Score Inputs'!$A$6:$A$30,MATCH(A25,'Score Inputs'!$P$6:$P$30,0))</x:f>
        <x:v>C23</x:v>
      </x:c>
    </x:row>
    <x:row r="26" ht="64" customHeight="1">
      <x:c r="A26" s="15" t="n">
        <x:v>21</x:v>
      </x:c>
      <x:c r="B26" s="15" t="str">
        <x:f>INDEX('Score Inputs'!$B$6:$B$30,MATCH(A26,'Score Inputs'!$P$6:$P$30,0))</x:f>
        <x:v>Resumeble</x:v>
      </x:c>
      <x:c r="C26" s="42" t="n">
        <x:f>INDEX('Score Inputs'!$M$6:$M$30,MATCH(A26,'Score Inputs'!$P$6:$P$30,0))</x:f>
        <x:v>75</x:v>
      </x:c>
      <x:c r="D26" s="15" t="str">
        <x:f>INDEX('Score Inputs'!$Q$6:$Q$30,MATCH(A26,'Score Inputs'!$P$6:$P$30,0))&amp;"–"&amp;INDEX('Score Inputs'!$R$6:$R$30,MATCH(A26,'Score Inputs'!$P$6:$P$30,0))&amp;"–"&amp;INDEX('Score Inputs'!$S$6:$S$30,MATCH(A26,'Score Inputs'!$P$6:$P$30,0))</x:f>
        <x:v>3–20–1</x:v>
      </x:c>
      <x:c r="E26" s="15" t="str">
        <x:f>INDEX(Profiles!$C$6:$C$30,MATCH(I26,Profiles!$A$6:$A$30,0))</x:f>
        <x:v>Value-focused document bundles</x:v>
      </x:c>
      <x:c r="F26" s="15" t="str">
        <x:f>INDEX(Profiles!$D$6:$D$30,MATCH(I26,Profiles!$A$6:$A$30,0))</x:f>
        <x:v>$157–$1,197; Professional $297 in retained offer</x:v>
      </x:c>
      <x:c r="G26" s="15" t="str">
        <x:f>INDEX('Score Inputs'!$T$6:$T$30,MATCH(A26,'Score Inputs'!$P$6:$P$30,0))</x:f>
        <x:v>Medium</x:v>
      </x:c>
      <x:c r="H26" s="34" t="n">
        <x:f>INDEX('Score Inputs'!$L$6:$L$30,MATCH(A26,'Score Inputs'!$P$6:$P$30,0))</x:f>
        <x:v>74.5</x:v>
      </x:c>
      <x:c r="I26" s="15" t="str">
        <x:f>INDEX('Score Inputs'!$A$6:$A$30,MATCH(A26,'Score Inputs'!$P$6:$P$30,0))</x:f>
        <x:v>C04</x:v>
      </x:c>
    </x:row>
    <x:row r="27" ht="64" customHeight="1">
      <x:c r="A27" s="15" t="n">
        <x:v>22</x:v>
      </x:c>
      <x:c r="B27" s="15" t="str">
        <x:f>INDEX('Score Inputs'!$B$6:$B$30,MATCH(A27,'Score Inputs'!$P$6:$P$30,0))</x:f>
        <x:v>Resume Target</x:v>
      </x:c>
      <x:c r="C27" s="42" t="n">
        <x:f>INDEX('Score Inputs'!$M$6:$M$30,MATCH(A27,'Score Inputs'!$P$6:$P$30,0))</x:f>
        <x:v>75</x:v>
      </x:c>
      <x:c r="D27" s="15" t="str">
        <x:f>INDEX('Score Inputs'!$Q$6:$Q$30,MATCH(A27,'Score Inputs'!$P$6:$P$30,0))&amp;"–"&amp;INDEX('Score Inputs'!$R$6:$R$30,MATCH(A27,'Score Inputs'!$P$6:$P$30,0))&amp;"–"&amp;INDEX('Score Inputs'!$S$6:$S$30,MATCH(A27,'Score Inputs'!$P$6:$P$30,0))</x:f>
        <x:v>3–20–1</x:v>
      </x:c>
      <x:c r="E27" s="15" t="str">
        <x:f>INDEX(Profiles!$C$6:$C$30,MATCH(I27,Profiles!$A$6:$A$30,0))</x:f>
        <x:v>Buyers preferring a defined interview length</x:v>
      </x:c>
      <x:c r="F27" s="15" t="str">
        <x:f>INDEX(Profiles!$D$6:$D$30,MATCH(I27,Profiles!$A$6:$A$30,0))</x:f>
        <x:v>$299 / $349 / $399 / $499; currency unresolved</x:v>
      </x:c>
      <x:c r="G27" s="15" t="str">
        <x:f>INDEX('Score Inputs'!$T$6:$T$30,MATCH(A27,'Score Inputs'!$P$6:$P$30,0))</x:f>
        <x:v>Low</x:v>
      </x:c>
      <x:c r="H27" s="34" t="n">
        <x:f>INDEX('Score Inputs'!$L$6:$L$30,MATCH(A27,'Score Inputs'!$P$6:$P$30,0))</x:f>
        <x:v>74.5</x:v>
      </x:c>
      <x:c r="I27" s="15" t="str">
        <x:f>INDEX('Score Inputs'!$A$6:$A$30,MATCH(A27,'Score Inputs'!$P$6:$P$30,0))</x:f>
        <x:v>C16</x:v>
      </x:c>
    </x:row>
    <x:row r="28" ht="64" customHeight="1">
      <x:c r="A28" s="15" t="n">
        <x:v>23</x:v>
      </x:c>
      <x:c r="B28" s="15" t="str">
        <x:f>INDEX('Score Inputs'!$B$6:$B$30,MATCH(A28,'Score Inputs'!$P$6:$P$30,0))</x:f>
        <x:v>Resume Professional Writers</x:v>
      </x:c>
      <x:c r="C28" s="42" t="n">
        <x:f>INDEX('Score Inputs'!$M$6:$M$30,MATCH(A28,'Score Inputs'!$P$6:$P$30,0))</x:f>
        <x:v>66</x:v>
      </x:c>
      <x:c r="D28" s="15" t="str">
        <x:f>INDEX('Score Inputs'!$Q$6:$Q$30,MATCH(A28,'Score Inputs'!$P$6:$P$30,0))&amp;"–"&amp;INDEX('Score Inputs'!$R$6:$R$30,MATCH(A28,'Score Inputs'!$P$6:$P$30,0))&amp;"–"&amp;INDEX('Score Inputs'!$S$6:$S$30,MATCH(A28,'Score Inputs'!$P$6:$P$30,0))</x:f>
        <x:v>2–22–0</x:v>
      </x:c>
      <x:c r="E28" s="15" t="str">
        <x:f>INDEX(Profiles!$C$6:$C$30,MATCH(I28,Profiles!$A$6:$A$30,0))</x:f>
        <x:v>Low-cost writing with extensive revision access</x:v>
      </x:c>
      <x:c r="F28" s="15" t="str">
        <x:f>INDEX(Profiles!$D$6:$D$30,MATCH(I28,Profiles!$A$6:$A$30,0))</x:f>
        <x:v>$125 / $195 / $305 / $485</x:v>
      </x:c>
      <x:c r="G28" s="15" t="str">
        <x:f>INDEX('Score Inputs'!$T$6:$T$30,MATCH(A28,'Score Inputs'!$P$6:$P$30,0))</x:f>
        <x:v>Medium</x:v>
      </x:c>
      <x:c r="H28" s="34" t="n">
        <x:f>INDEX('Score Inputs'!$L$6:$L$30,MATCH(A28,'Score Inputs'!$P$6:$P$30,0))</x:f>
        <x:v>65.75</x:v>
      </x:c>
      <x:c r="I28" s="15" t="str">
        <x:f>INDEX('Score Inputs'!$A$6:$A$30,MATCH(A28,'Score Inputs'!$P$6:$P$30,0))</x:f>
        <x:v>C11</x:v>
      </x:c>
    </x:row>
    <x:row r="29" ht="64" customHeight="1">
      <x:c r="A29" s="15" t="n">
        <x:v>24</x:v>
      </x:c>
      <x:c r="B29" s="15" t="str">
        <x:f>INDEX('Score Inputs'!$B$6:$B$30,MATCH(A29,'Score Inputs'!$P$6:$P$30,0))</x:f>
        <x:v>TopResume</x:v>
      </x:c>
      <x:c r="C29" s="42" t="n">
        <x:f>INDEX('Score Inputs'!$M$6:$M$30,MATCH(A29,'Score Inputs'!$P$6:$P$30,0))</x:f>
        <x:v>63</x:v>
      </x:c>
      <x:c r="D29" s="15" t="str">
        <x:f>INDEX('Score Inputs'!$Q$6:$Q$30,MATCH(A29,'Score Inputs'!$P$6:$P$30,0))&amp;"–"&amp;INDEX('Score Inputs'!$R$6:$R$30,MATCH(A29,'Score Inputs'!$P$6:$P$30,0))&amp;"–"&amp;INDEX('Score Inputs'!$S$6:$S$30,MATCH(A29,'Score Inputs'!$P$6:$P$30,0))</x:f>
        <x:v>1–23–0</x:v>
      </x:c>
      <x:c r="E29" s="15" t="str">
        <x:f>INDEX(Profiles!$C$6:$C$30,MATCH(I29,Profiles!$A$6:$A$30,0))</x:f>
        <x:v>Broad-market low initial-price writing</x:v>
      </x:c>
      <x:c r="F29" s="15" t="str">
        <x:f>INDEX(Profiles!$D$6:$D$30,MATCH(I29,Profiles!$A$6:$A$30,0))</x:f>
        <x:v>$179–$599; platform subscription terms separate</x:v>
      </x:c>
      <x:c r="G29" s="15" t="str">
        <x:f>INDEX('Score Inputs'!$T$6:$T$30,MATCH(A29,'Score Inputs'!$P$6:$P$30,0))</x:f>
        <x:v>Medium</x:v>
      </x:c>
      <x:c r="H29" s="34" t="n">
        <x:f>INDEX('Score Inputs'!$L$6:$L$30,MATCH(A29,'Score Inputs'!$P$6:$P$30,0))</x:f>
        <x:v>62.75</x:v>
      </x:c>
      <x:c r="I29" s="15" t="str">
        <x:f>INDEX('Score Inputs'!$A$6:$A$30,MATCH(A29,'Score Inputs'!$P$6:$P$30,0))</x:f>
        <x:v>C07</x:v>
      </x:c>
    </x:row>
    <x:row r="30" ht="64" customHeight="1">
      <x:c r="A30" s="15" t="n">
        <x:v>25</x:v>
      </x:c>
      <x:c r="B30" s="15" t="str">
        <x:f>INDEX('Score Inputs'!$B$6:$B$30,MATCH(A30,'Score Inputs'!$P$6:$P$30,0))</x:f>
        <x:v>Resume Writing Group</x:v>
      </x:c>
      <x:c r="C30" s="42" t="n">
        <x:f>INDEX('Score Inputs'!$M$6:$M$30,MATCH(A30,'Score Inputs'!$P$6:$P$30,0))</x:f>
        <x:v>60</x:v>
      </x:c>
      <x:c r="D30" s="15" t="str">
        <x:f>INDEX('Score Inputs'!$Q$6:$Q$30,MATCH(A30,'Score Inputs'!$P$6:$P$30,0))&amp;"–"&amp;INDEX('Score Inputs'!$R$6:$R$30,MATCH(A30,'Score Inputs'!$P$6:$P$30,0))&amp;"–"&amp;INDEX('Score Inputs'!$S$6:$S$30,MATCH(A30,'Score Inputs'!$P$6:$P$30,0))</x:f>
        <x:v>0–24–0</x:v>
      </x:c>
      <x:c r="E30" s="15" t="str">
        <x:f>INDEX(Profiles!$C$6:$C$30,MATCH(I30,Profiles!$A$6:$A$30,0))</x:f>
        <x:v>Low-cost rapid résumé services</x:v>
      </x:c>
      <x:c r="F30" s="15" t="str">
        <x:f>INDEX(Profiles!$D$6:$D$30,MATCH(I30,Profiles!$A$6:$A$30,0))</x:f>
        <x:v>$149.95 entry / $189.95 professional / $239.95 executive, retained offers</x:v>
      </x:c>
      <x:c r="G30" s="15" t="str">
        <x:f>INDEX('Score Inputs'!$T$6:$T$30,MATCH(A30,'Score Inputs'!$P$6:$P$30,0))</x:f>
        <x:v>Medium</x:v>
      </x:c>
      <x:c r="H30" s="34" t="n">
        <x:f>INDEX('Score Inputs'!$L$6:$L$30,MATCH(A30,'Score Inputs'!$P$6:$P$30,0))</x:f>
        <x:v>59.75</x:v>
      </x:c>
      <x:c r="I30" s="15" t="str">
        <x:f>INDEX('Score Inputs'!$A$6:$A$30,MATCH(A30,'Score Inputs'!$P$6:$P$30,0))</x:f>
        <x:v>C14</x:v>
      </x:c>
    </x:row>
    <x:row r="32" ht="27" customHeight="1">
      <x:c r="A32" s="7" t="str">
        <x:v>Final editorial decision for this edition, not an independent test or statistically demonstrated quality gap. Exact totals order the ranking; equal totals remain tournament ties. Residual alphabetical placement does not imply a quality advantage. Eight selected portfolio examples were inspected in the retained audit; other quality scores use process and concrete customer evidence.</x:v>
      </x:c>
      <x:c r="B32" s="7"/>
      <x:c r="C32" s="7"/>
      <x:c r="D32" s="7"/>
      <x:c r="E32" s="7"/>
      <x:c r="F32" s="7"/>
      <x:c r="G32" s="7"/>
      <x:c r="H32" s="7"/>
      <x:c r="I32" s="7"/>
    </x:row>
    <x:row r="33" ht="27" customHeight="1">
      <x:c r="A33" s="7"/>
      <x:c r="B33" s="7"/>
      <x:c r="C33" s="7"/>
      <x:c r="D33" s="7"/>
      <x:c r="E33" s="7"/>
      <x:c r="F33" s="7"/>
      <x:c r="G33" s="7"/>
      <x:c r="H33" s="7"/>
      <x:c r="I33" s="7"/>
    </x:row>
    <x:row r="34" ht="27" customHeight="1">
      <x:c r="A34" s="7"/>
      <x:c r="B34" s="7"/>
      <x:c r="C34" s="7"/>
      <x:c r="D34" s="7"/>
      <x:c r="E34" s="7"/>
      <x:c r="F34" s="7"/>
      <x:c r="G34" s="7"/>
      <x:c r="H34" s="7"/>
      <x:c r="I34" s="7"/>
    </x:row>
  </x:sheetData>
  <x:mergeCells>
    <x:mergeCell ref="A1:I1"/>
    <x:mergeCell ref="A2:I3"/>
    <x:mergeCell ref="A32:I34"/>
  </x:mergeCells>
  <x:pageMargins left="0.7" right="0.7" top="0.75" bottom="0.75" header="0.3" footer="0.3"/>
  <x:tableParts count="1">
    <x:tablePart xmlns:r="http://schemas.openxmlformats.org/officeDocument/2006/relationships" r:id="R5a045a2d8a824480"/>
  </x:tableParts>
</x:worksheet>
</file>

<file path=xl/worksheets/sheet2.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8" hidden="0" customWidth="1"/>
    <x:col min="2" max="2" width="35" hidden="0" customWidth="1"/>
    <x:col min="3" max="3" width="12" hidden="0" customWidth="1"/>
    <x:col min="4" max="4" width="12" hidden="0" customWidth="1"/>
    <x:col min="5" max="5" width="12" hidden="0" customWidth="1"/>
    <x:col min="6" max="6" width="12" hidden="0" customWidth="1"/>
    <x:col min="7" max="7" width="12" hidden="0" customWidth="1"/>
    <x:col min="8" max="8" width="12" hidden="0" customWidth="1"/>
    <x:col min="9" max="9" width="12" hidden="0" customWidth="1"/>
    <x:col min="10" max="10" width="12" hidden="0" customWidth="1"/>
    <x:col min="11" max="11" width="12" hidden="0" customWidth="1"/>
    <x:col min="12" max="12" width="12" hidden="0" customWidth="1"/>
    <x:col min="13" max="13" width="12" hidden="0" customWidth="1"/>
    <x:col min="14" max="14" width="12" hidden="0" customWidth="1"/>
    <x:col min="15" max="15" width="12" hidden="0" customWidth="1"/>
    <x:col min="16" max="16" width="12" hidden="0" customWidth="1"/>
    <x:col min="17" max="17" width="10" hidden="0" customWidth="1"/>
    <x:col min="18" max="18" width="10" hidden="0" customWidth="1"/>
    <x:col min="19" max="19" width="10" hidden="0" customWidth="1"/>
    <x:col min="20" max="20" width="15" hidden="0" customWidth="1"/>
  </x:cols>
  <x:sheetData>
    <x:row r="1" ht="32" customHeight="1">
      <x:c r="A1" s="3" t="str">
        <x:v>SCORE INPUTS AND REPRODUCIBLE TOTALS</x:v>
      </x:c>
      <x:c r="B1" s="3"/>
      <x:c r="C1" s="3"/>
      <x:c r="D1" s="3"/>
      <x:c r="E1" s="3"/>
      <x:c r="F1" s="3"/>
      <x:c r="G1" s="3"/>
      <x:c r="H1" s="3"/>
      <x:c r="I1" s="3"/>
      <x:c r="J1" s="3"/>
      <x:c r="K1" s="3"/>
      <x:c r="L1" s="3"/>
      <x:c r="M1" s="3"/>
      <x:c r="N1" s="3"/>
      <x:c r="O1" s="3"/>
      <x:c r="P1" s="3"/>
      <x:c r="Q1" s="3"/>
      <x:c r="R1" s="3"/>
      <x:c r="S1" s="3"/>
      <x:c r="T1" s="3"/>
    </x:row>
    <x:row r="2" ht="24" customHeight="1">
      <x:c r="A2" s="8" t="str">
        <x:v>Blue-green cells are editorial inputs. Formulas calculate totals, ordering and tournament records. Evidence reasons in Evidence 225 refer to this finalized edition; revise those reasons when changing scores.</x:v>
      </x:c>
      <x:c r="B2" s="8"/>
      <x:c r="C2" s="8"/>
      <x:c r="D2" s="8"/>
      <x:c r="E2" s="8"/>
      <x:c r="F2" s="8"/>
      <x:c r="G2" s="8"/>
      <x:c r="H2" s="8"/>
      <x:c r="I2" s="8"/>
      <x:c r="J2" s="8"/>
      <x:c r="K2" s="8"/>
      <x:c r="L2" s="8"/>
      <x:c r="M2" s="8"/>
      <x:c r="N2" s="8"/>
      <x:c r="O2" s="8"/>
      <x:c r="P2" s="8"/>
      <x:c r="Q2" s="8"/>
      <x:c r="R2" s="8"/>
      <x:c r="S2" s="8"/>
      <x:c r="T2" s="8"/>
    </x:row>
    <x:row r="3" ht="24" customHeight="1">
      <x:c r="A3" s="8"/>
      <x:c r="B3" s="8"/>
      <x:c r="C3" s="8"/>
      <x:c r="D3" s="8"/>
      <x:c r="E3" s="8"/>
      <x:c r="F3" s="8"/>
      <x:c r="G3" s="8"/>
      <x:c r="H3" s="8"/>
      <x:c r="I3" s="8"/>
      <x:c r="J3" s="8"/>
      <x:c r="K3" s="8"/>
      <x:c r="L3" s="8"/>
      <x:c r="M3" s="8"/>
      <x:c r="N3" s="8"/>
      <x:c r="O3" s="8"/>
      <x:c r="P3" s="8"/>
      <x:c r="Q3" s="8"/>
      <x:c r="R3" s="8"/>
      <x:c r="S3" s="8"/>
      <x:c r="T3" s="8"/>
    </x:row>
    <x:row r="5" ht="34" customHeight="1">
      <x:c r="A5" s="12" t="str">
        <x:v>ID</x:v>
      </x:c>
      <x:c r="B5" s="12" t="str">
        <x:v>Company</x:v>
      </x:c>
      <x:c r="C5" s="12" t="str">
        <x:v>Feedback</x:v>
      </x:c>
      <x:c r="D5" s="12" t="str">
        <x:v>Outcomes</x:v>
      </x:c>
      <x:c r="E5" s="12" t="str">
        <x:v>Value</x:v>
      </x:c>
      <x:c r="F5" s="12" t="str">
        <x:v>Personalization</x:v>
      </x:c>
      <x:c r="G5" s="12" t="str">
        <x:v>Credentials</x:v>
      </x:c>
      <x:c r="H5" s="12" t="str">
        <x:v>Quality</x:v>
      </x:c>
      <x:c r="I5" s="12" t="str">
        <x:v>Support</x:v>
      </x:c>
      <x:c r="J5" s="12" t="str">
        <x:v>History</x:v>
      </x:c>
      <x:c r="K5" s="12" t="str">
        <x:v>Reputation</x:v>
      </x:c>
      <x:c r="L5" s="12" t="str">
        <x:v>Exact total</x:v>
      </x:c>
      <x:c r="M5" s="12" t="str">
        <x:v>Score /100</x:v>
      </x:c>
      <x:c r="N5" s="12" t="str">
        <x:v>Confidence code</x:v>
      </x:c>
      <x:c r="O5" s="12" t="str">
        <x:v>Alphabetical key</x:v>
      </x:c>
      <x:c r="P5" s="12" t="str">
        <x:v>Final rank</x:v>
      </x:c>
      <x:c r="Q5" s="12" t="str">
        <x:v>Wins</x:v>
      </x:c>
      <x:c r="R5" s="12" t="str">
        <x:v>Losses</x:v>
      </x:c>
      <x:c r="S5" s="12" t="str">
        <x:v>Ties</x:v>
      </x:c>
      <x:c r="T5" s="12" t="str">
        <x:v>Evidence confidence</x:v>
      </x:c>
    </x:row>
    <x:row r="6" ht="48" customHeight="1">
      <x:c r="A6" s="15" t="str">
        <x:v>C01</x:v>
      </x:c>
      <x:c r="B6" s="15" t="str">
        <x:v>Let’s Eat, Grandma</x:v>
      </x:c>
      <x:c r="C6" s="32" t="n">
        <x:v>8.5</x:v>
      </x:c>
      <x:c r="D6" s="32" t="n">
        <x:v>8</x:v>
      </x:c>
      <x:c r="E6" s="32" t="n">
        <x:v>8.5</x:v>
      </x:c>
      <x:c r="F6" s="32" t="n">
        <x:v>8</x:v>
      </x:c>
      <x:c r="G6" s="32" t="n">
        <x:v>7.5</x:v>
      </x:c>
      <x:c r="H6" s="32" t="n">
        <x:v>8</x:v>
      </x:c>
      <x:c r="I6" s="32" t="n">
        <x:v>7.5</x:v>
      </x:c>
      <x:c r="J6" s="32" t="n">
        <x:v>7.5</x:v>
      </x:c>
      <x:c r="K6" s="32" t="n">
        <x:v>7.5</x:v>
      </x:c>
      <x:c r="L6" s="34" t="n">
        <x:f>SUMPRODUCT(C6:K6,Rubric!$C$6:$K$6)/Rubric!$B$8</x:f>
        <x:v>80.25</x:v>
      </x:c>
      <x:c r="M6" s="36" t="n">
        <x:f>ROUND(L6,0)</x:f>
        <x:v>80</x:v>
      </x:c>
      <x:c r="N6" s="36" t="n">
        <x:v>2</x:v>
      </x:c>
      <x:c r="O6" s="36" t="n">
        <x:v>14</x:v>
      </x:c>
      <x:c r="P6" s="36" t="n">
        <x:f>1+COUNTIF($L$6:$L$30,"&gt;"&amp;L6)+COUNTIFS($L$6:$L$30,L6,$D$6:$D$30,"&gt;"&amp;D6)+COUNTIFS($L$6:$L$30,L6,$D$6:$D$30,D6,$C$6:$C$30,"&gt;"&amp;C6)+COUNTIFS($L$6:$L$30,L6,$D$6:$D$30,D6,$C$6:$C$30,C6,$E$6:$E$30,"&gt;"&amp;E6)+COUNTIFS($L$6:$L$30,L6,$D$6:$D$30,D6,$C$6:$C$30,C6,$E$6:$E$30,E6,$N$6:$N$30,"&gt;"&amp;N6)+COUNTIFS($L$6:$L$30,L6,$D$6:$D$30,D6,$C$6:$C$30,C6,$E$6:$E$30,E6,$N$6:$N$30,N6,$O$6:$O$30,"&lt;"&amp;O6)</x:f>
        <x:v>13</x:v>
      </x:c>
      <x:c r="Q6" s="36" t="n">
        <x:f>COUNTIF($L$6:$L$30,"&lt;"&amp;L6)</x:f>
        <x:v>12</x:v>
      </x:c>
      <x:c r="R6" s="36" t="n">
        <x:f>COUNTIF($L$6:$L$30,"&gt;"&amp;L6)</x:f>
        <x:v>12</x:v>
      </x:c>
      <x:c r="S6" s="36" t="n">
        <x:f>COUNTIF($L$6:$L$30,L6)-1</x:f>
        <x:v>0</x:v>
      </x:c>
      <x:c r="T6" s="15" t="str">
        <x:v>Medium</x:v>
      </x:c>
    </x:row>
    <x:row r="7" ht="48" customHeight="1">
      <x:c r="A7" s="15" t="str">
        <x:v>C02</x:v>
      </x:c>
      <x:c r="B7" s="15" t="str">
        <x:v>Find My Profession</x:v>
      </x:c>
      <x:c r="C7" s="32" t="n">
        <x:v>8.5</x:v>
      </x:c>
      <x:c r="D7" s="32" t="n">
        <x:v>7.5</x:v>
      </x:c>
      <x:c r="E7" s="32" t="n">
        <x:v>8</x:v>
      </x:c>
      <x:c r="F7" s="32" t="n">
        <x:v>8.5</x:v>
      </x:c>
      <x:c r="G7" s="32" t="n">
        <x:v>8</x:v>
      </x:c>
      <x:c r="H7" s="32" t="n">
        <x:v>8.5</x:v>
      </x:c>
      <x:c r="I7" s="32" t="n">
        <x:v>8</x:v>
      </x:c>
      <x:c r="J7" s="32" t="n">
        <x:v>7.5</x:v>
      </x:c>
      <x:c r="K7" s="32" t="n">
        <x:v>7.5</x:v>
      </x:c>
      <x:c r="L7" s="34" t="n">
        <x:f>SUMPRODUCT(C7:K7,Rubric!$C$6:$K$6)/Rubric!$B$8</x:f>
        <x:v>80.75</x:v>
      </x:c>
      <x:c r="M7" s="36" t="n">
        <x:f>ROUND(L7,0)</x:f>
        <x:v>81</x:v>
      </x:c>
      <x:c r="N7" s="36" t="n">
        <x:v>2</x:v>
      </x:c>
      <x:c r="O7" s="36" t="n">
        <x:v>9</x:v>
      </x:c>
      <x:c r="P7" s="36" t="n">
        <x:f>1+COUNTIF($L$6:$L$30,"&gt;"&amp;L7)+COUNTIFS($L$6:$L$30,L7,$D$6:$D$30,"&gt;"&amp;D7)+COUNTIFS($L$6:$L$30,L7,$D$6:$D$30,D7,$C$6:$C$30,"&gt;"&amp;C7)+COUNTIFS($L$6:$L$30,L7,$D$6:$D$30,D7,$C$6:$C$30,C7,$E$6:$E$30,"&gt;"&amp;E7)+COUNTIFS($L$6:$L$30,L7,$D$6:$D$30,D7,$C$6:$C$30,C7,$E$6:$E$30,E7,$N$6:$N$30,"&gt;"&amp;N7)+COUNTIFS($L$6:$L$30,L7,$D$6:$D$30,D7,$C$6:$C$30,C7,$E$6:$E$30,E7,$N$6:$N$30,N7,$O$6:$O$30,"&lt;"&amp;O7)</x:f>
        <x:v>8</x:v>
      </x:c>
      <x:c r="Q7" s="36" t="n">
        <x:f>COUNTIF($L$6:$L$30,"&lt;"&amp;L7)</x:f>
        <x:v>17</x:v>
      </x:c>
      <x:c r="R7" s="36" t="n">
        <x:f>COUNTIF($L$6:$L$30,"&gt;"&amp;L7)</x:f>
        <x:v>7</x:v>
      </x:c>
      <x:c r="S7" s="36" t="n">
        <x:f>COUNTIF($L$6:$L$30,L7)-1</x:f>
        <x:v>0</x:v>
      </x:c>
      <x:c r="T7" s="15" t="str">
        <x:v>Medium</x:v>
      </x:c>
    </x:row>
    <x:row r="8" ht="48" customHeight="1">
      <x:c r="A8" s="15" t="str">
        <x:v>C03</x:v>
      </x:c>
      <x:c r="B8" s="15" t="str">
        <x:v>TopStack Resume</x:v>
      </x:c>
      <x:c r="C8" s="32" t="n">
        <x:v>8.5</x:v>
      </x:c>
      <x:c r="D8" s="32" t="n">
        <x:v>7</x:v>
      </x:c>
      <x:c r="E8" s="32" t="n">
        <x:v>9</x:v>
      </x:c>
      <x:c r="F8" s="32" t="n">
        <x:v>7.5</x:v>
      </x:c>
      <x:c r="G8" s="32" t="n">
        <x:v>6.5</x:v>
      </x:c>
      <x:c r="H8" s="32" t="n">
        <x:v>7.5</x:v>
      </x:c>
      <x:c r="I8" s="32" t="n">
        <x:v>7.5</x:v>
      </x:c>
      <x:c r="J8" s="32" t="n">
        <x:v>7</x:v>
      </x:c>
      <x:c r="K8" s="32" t="n">
        <x:v>6.5</x:v>
      </x:c>
      <x:c r="L8" s="34" t="n">
        <x:f>SUMPRODUCT(C8:K8,Rubric!$C$6:$K$6)/Rubric!$B$8</x:f>
        <x:v>76.75</x:v>
      </x:c>
      <x:c r="M8" s="36" t="n">
        <x:f>ROUND(L8,0)</x:f>
        <x:v>77</x:v>
      </x:c>
      <x:c r="N8" s="36" t="n">
        <x:v>2</x:v>
      </x:c>
      <x:c r="O8" s="36" t="n">
        <x:v>24</x:v>
      </x:c>
      <x:c r="P8" s="36" t="n">
        <x:f>1+COUNTIF($L$6:$L$30,"&gt;"&amp;L8)+COUNTIFS($L$6:$L$30,L8,$D$6:$D$30,"&gt;"&amp;D8)+COUNTIFS($L$6:$L$30,L8,$D$6:$D$30,D8,$C$6:$C$30,"&gt;"&amp;C8)+COUNTIFS($L$6:$L$30,L8,$D$6:$D$30,D8,$C$6:$C$30,C8,$E$6:$E$30,"&gt;"&amp;E8)+COUNTIFS($L$6:$L$30,L8,$D$6:$D$30,D8,$C$6:$C$30,C8,$E$6:$E$30,E8,$N$6:$N$30,"&gt;"&amp;N8)+COUNTIFS($L$6:$L$30,L8,$D$6:$D$30,D8,$C$6:$C$30,C8,$E$6:$E$30,E8,$N$6:$N$30,N8,$O$6:$O$30,"&lt;"&amp;O8)</x:f>
        <x:v>18</x:v>
      </x:c>
      <x:c r="Q8" s="36" t="n">
        <x:f>COUNTIF($L$6:$L$30,"&lt;"&amp;L8)</x:f>
        <x:v>6</x:v>
      </x:c>
      <x:c r="R8" s="36" t="n">
        <x:f>COUNTIF($L$6:$L$30,"&gt;"&amp;L8)</x:f>
        <x:v>17</x:v>
      </x:c>
      <x:c r="S8" s="36" t="n">
        <x:f>COUNTIF($L$6:$L$30,L8)-1</x:f>
        <x:v>1</x:v>
      </x:c>
      <x:c r="T8" s="15" t="str">
        <x:v>Medium</x:v>
      </x:c>
    </x:row>
    <x:row r="9" ht="48" customHeight="1">
      <x:c r="A9" s="15" t="str">
        <x:v>C04</x:v>
      </x:c>
      <x:c r="B9" s="15" t="str">
        <x:v>Resumeble</x:v>
      </x:c>
      <x:c r="C9" s="32" t="n">
        <x:v>8</x:v>
      </x:c>
      <x:c r="D9" s="32" t="n">
        <x:v>7</x:v>
      </x:c>
      <x:c r="E9" s="32" t="n">
        <x:v>8.5</x:v>
      </x:c>
      <x:c r="F9" s="32" t="n">
        <x:v>7.5</x:v>
      </x:c>
      <x:c r="G9" s="32" t="n">
        <x:v>6.5</x:v>
      </x:c>
      <x:c r="H9" s="32" t="n">
        <x:v>7</x:v>
      </x:c>
      <x:c r="I9" s="32" t="n">
        <x:v>7.5</x:v>
      </x:c>
      <x:c r="J9" s="32" t="n">
        <x:v>7</x:v>
      </x:c>
      <x:c r="K9" s="32" t="n">
        <x:v>6.5</x:v>
      </x:c>
      <x:c r="L9" s="34" t="n">
        <x:f>SUMPRODUCT(C9:K9,Rubric!$C$6:$K$6)/Rubric!$B$8</x:f>
        <x:v>74.5</x:v>
      </x:c>
      <x:c r="M9" s="36" t="n">
        <x:f>ROUND(L9,0)</x:f>
        <x:v>75</x:v>
      </x:c>
      <x:c r="N9" s="36" t="n">
        <x:v>2</x:v>
      </x:c>
      <x:c r="O9" s="36" t="n">
        <x:v>19</x:v>
      </x:c>
      <x:c r="P9" s="36" t="n">
        <x:f>1+COUNTIF($L$6:$L$30,"&gt;"&amp;L9)+COUNTIFS($L$6:$L$30,L9,$D$6:$D$30,"&gt;"&amp;D9)+COUNTIFS($L$6:$L$30,L9,$D$6:$D$30,D9,$C$6:$C$30,"&gt;"&amp;C9)+COUNTIFS($L$6:$L$30,L9,$D$6:$D$30,D9,$C$6:$C$30,C9,$E$6:$E$30,"&gt;"&amp;E9)+COUNTIFS($L$6:$L$30,L9,$D$6:$D$30,D9,$C$6:$C$30,C9,$E$6:$E$30,E9,$N$6:$N$30,"&gt;"&amp;N9)+COUNTIFS($L$6:$L$30,L9,$D$6:$D$30,D9,$C$6:$C$30,C9,$E$6:$E$30,E9,$N$6:$N$30,N9,$O$6:$O$30,"&lt;"&amp;O9)</x:f>
        <x:v>21</x:v>
      </x:c>
      <x:c r="Q9" s="36" t="n">
        <x:f>COUNTIF($L$6:$L$30,"&lt;"&amp;L9)</x:f>
        <x:v>3</x:v>
      </x:c>
      <x:c r="R9" s="36" t="n">
        <x:f>COUNTIF($L$6:$L$30,"&gt;"&amp;L9)</x:f>
        <x:v>20</x:v>
      </x:c>
      <x:c r="S9" s="36" t="n">
        <x:f>COUNTIF($L$6:$L$30,L9)-1</x:f>
        <x:v>1</x:v>
      </x:c>
      <x:c r="T9" s="15" t="str">
        <x:v>Medium</x:v>
      </x:c>
    </x:row>
    <x:row r="10" ht="48" customHeight="1">
      <x:c r="A10" s="15" t="str">
        <x:v>C05</x:v>
      </x:c>
      <x:c r="B10" s="15" t="str">
        <x:v>ResumeSpice</x:v>
      </x:c>
      <x:c r="C10" s="32" t="n">
        <x:v>9</x:v>
      </x:c>
      <x:c r="D10" s="32" t="n">
        <x:v>8</x:v>
      </x:c>
      <x:c r="E10" s="32" t="n">
        <x:v>8</x:v>
      </x:c>
      <x:c r="F10" s="32" t="n">
        <x:v>8.5</x:v>
      </x:c>
      <x:c r="G10" s="32" t="n">
        <x:v>7.5</x:v>
      </x:c>
      <x:c r="H10" s="32" t="n">
        <x:v>8</x:v>
      </x:c>
      <x:c r="I10" s="32" t="n">
        <x:v>8.5</x:v>
      </x:c>
      <x:c r="J10" s="32" t="n">
        <x:v>7.5</x:v>
      </x:c>
      <x:c r="K10" s="32" t="n">
        <x:v>7.5</x:v>
      </x:c>
      <x:c r="L10" s="34" t="n">
        <x:f>SUMPRODUCT(C10:K10,Rubric!$C$6:$K$6)/Rubric!$B$8</x:f>
        <x:v>82</x:v>
      </x:c>
      <x:c r="M10" s="36" t="n">
        <x:f>ROUND(L10,0)</x:f>
        <x:v>82</x:v>
      </x:c>
      <x:c r="N10" s="36" t="n">
        <x:v>2</x:v>
      </x:c>
      <x:c r="O10" s="36" t="n">
        <x:v>18</x:v>
      </x:c>
      <x:c r="P10" s="36" t="n">
        <x:f>1+COUNTIF($L$6:$L$30,"&gt;"&amp;L10)+COUNTIFS($L$6:$L$30,L10,$D$6:$D$30,"&gt;"&amp;D10)+COUNTIFS($L$6:$L$30,L10,$D$6:$D$30,D10,$C$6:$C$30,"&gt;"&amp;C10)+COUNTIFS($L$6:$L$30,L10,$D$6:$D$30,D10,$C$6:$C$30,C10,$E$6:$E$30,"&gt;"&amp;E10)+COUNTIFS($L$6:$L$30,L10,$D$6:$D$30,D10,$C$6:$C$30,C10,$E$6:$E$30,E10,$N$6:$N$30,"&gt;"&amp;N10)+COUNTIFS($L$6:$L$30,L10,$D$6:$D$30,D10,$C$6:$C$30,C10,$E$6:$E$30,E10,$N$6:$N$30,N10,$O$6:$O$30,"&lt;"&amp;O10)</x:f>
        <x:v>7</x:v>
      </x:c>
      <x:c r="Q10" s="36" t="n">
        <x:f>COUNTIF($L$6:$L$30,"&lt;"&amp;L10)</x:f>
        <x:v>18</x:v>
      </x:c>
      <x:c r="R10" s="36" t="n">
        <x:f>COUNTIF($L$6:$L$30,"&gt;"&amp;L10)</x:f>
        <x:v>6</x:v>
      </x:c>
      <x:c r="S10" s="36" t="n">
        <x:f>COUNTIF($L$6:$L$30,L10)-1</x:f>
        <x:v>0</x:v>
      </x:c>
      <x:c r="T10" s="15" t="str">
        <x:v>Medium</x:v>
      </x:c>
    </x:row>
    <x:row r="11" ht="48" customHeight="1">
      <x:c r="A11" s="15" t="str">
        <x:v>C06</x:v>
      </x:c>
      <x:c r="B11" s="15" t="str">
        <x:v>Great Resumes Fast</x:v>
      </x:c>
      <x:c r="C11" s="32" t="n">
        <x:v>8</x:v>
      </x:c>
      <x:c r="D11" s="32" t="n">
        <x:v>7.5</x:v>
      </x:c>
      <x:c r="E11" s="32" t="n">
        <x:v>8</x:v>
      </x:c>
      <x:c r="F11" s="32" t="n">
        <x:v>9</x:v>
      </x:c>
      <x:c r="G11" s="32" t="n">
        <x:v>8</x:v>
      </x:c>
      <x:c r="H11" s="32" t="n">
        <x:v>8.5</x:v>
      </x:c>
      <x:c r="I11" s="32" t="n">
        <x:v>7.5</x:v>
      </x:c>
      <x:c r="J11" s="32" t="n">
        <x:v>8.5</x:v>
      </x:c>
      <x:c r="K11" s="32" t="n">
        <x:v>8</x:v>
      </x:c>
      <x:c r="L11" s="34" t="n">
        <x:f>SUMPRODUCT(C11:K11,Rubric!$C$6:$K$6)/Rubric!$B$8</x:f>
        <x:v>80.5</x:v>
      </x:c>
      <x:c r="M11" s="36" t="n">
        <x:f>ROUND(L11,0)</x:f>
        <x:v>81</x:v>
      </x:c>
      <x:c r="N11" s="36" t="n">
        <x:v>2</x:v>
      </x:c>
      <x:c r="O11" s="36" t="n">
        <x:v>10</x:v>
      </x:c>
      <x:c r="P11" s="36" t="n">
        <x:f>1+COUNTIF($L$6:$L$30,"&gt;"&amp;L11)+COUNTIFS($L$6:$L$30,L11,$D$6:$D$30,"&gt;"&amp;D11)+COUNTIFS($L$6:$L$30,L11,$D$6:$D$30,D11,$C$6:$C$30,"&gt;"&amp;C11)+COUNTIFS($L$6:$L$30,L11,$D$6:$D$30,D11,$C$6:$C$30,C11,$E$6:$E$30,"&gt;"&amp;E11)+COUNTIFS($L$6:$L$30,L11,$D$6:$D$30,D11,$C$6:$C$30,C11,$E$6:$E$30,E11,$N$6:$N$30,"&gt;"&amp;N11)+COUNTIFS($L$6:$L$30,L11,$D$6:$D$30,D11,$C$6:$C$30,C11,$E$6:$E$30,E11,$N$6:$N$30,N11,$O$6:$O$30,"&lt;"&amp;O11)</x:f>
        <x:v>11</x:v>
      </x:c>
      <x:c r="Q11" s="36" t="n">
        <x:f>COUNTIF($L$6:$L$30,"&lt;"&amp;L11)</x:f>
        <x:v>13</x:v>
      </x:c>
      <x:c r="R11" s="36" t="n">
        <x:f>COUNTIF($L$6:$L$30,"&gt;"&amp;L11)</x:f>
        <x:v>8</x:v>
      </x:c>
      <x:c r="S11" s="36" t="n">
        <x:f>COUNTIF($L$6:$L$30,L11)-1</x:f>
        <x:v>3</x:v>
      </x:c>
      <x:c r="T11" s="15" t="str">
        <x:v>Medium</x:v>
      </x:c>
    </x:row>
    <x:row r="12" ht="48" customHeight="1">
      <x:c r="A12" s="15" t="str">
        <x:v>C07</x:v>
      </x:c>
      <x:c r="B12" s="15" t="str">
        <x:v>TopResume</x:v>
      </x:c>
      <x:c r="C12" s="32" t="n">
        <x:v>6.5</x:v>
      </x:c>
      <x:c r="D12" s="32" t="n">
        <x:v>7</x:v>
      </x:c>
      <x:c r="E12" s="32" t="n">
        <x:v>6.5</x:v>
      </x:c>
      <x:c r="F12" s="32" t="n">
        <x:v>6.5</x:v>
      </x:c>
      <x:c r="G12" s="32" t="n">
        <x:v>6.5</x:v>
      </x:c>
      <x:c r="H12" s="32" t="n">
        <x:v>6</x:v>
      </x:c>
      <x:c r="I12" s="32" t="n">
        <x:v>3.5</x:v>
      </x:c>
      <x:c r="J12" s="32" t="n">
        <x:v>7.5</x:v>
      </x:c>
      <x:c r="K12" s="32" t="n">
        <x:v>6.5</x:v>
      </x:c>
      <x:c r="L12" s="34" t="n">
        <x:f>SUMPRODUCT(C12:K12,Rubric!$C$6:$K$6)/Rubric!$B$8</x:f>
        <x:v>62.75</x:v>
      </x:c>
      <x:c r="M12" s="36" t="n">
        <x:f>ROUND(L12,0)</x:f>
        <x:v>63</x:v>
      </x:c>
      <x:c r="N12" s="36" t="n">
        <x:v>2</x:v>
      </x:c>
      <x:c r="O12" s="36" t="n">
        <x:v>23</x:v>
      </x:c>
      <x:c r="P12" s="36" t="n">
        <x:f>1+COUNTIF($L$6:$L$30,"&gt;"&amp;L12)+COUNTIFS($L$6:$L$30,L12,$D$6:$D$30,"&gt;"&amp;D12)+COUNTIFS($L$6:$L$30,L12,$D$6:$D$30,D12,$C$6:$C$30,"&gt;"&amp;C12)+COUNTIFS($L$6:$L$30,L12,$D$6:$D$30,D12,$C$6:$C$30,C12,$E$6:$E$30,"&gt;"&amp;E12)+COUNTIFS($L$6:$L$30,L12,$D$6:$D$30,D12,$C$6:$C$30,C12,$E$6:$E$30,E12,$N$6:$N$30,"&gt;"&amp;N12)+COUNTIFS($L$6:$L$30,L12,$D$6:$D$30,D12,$C$6:$C$30,C12,$E$6:$E$30,E12,$N$6:$N$30,N12,$O$6:$O$30,"&lt;"&amp;O12)</x:f>
        <x:v>24</x:v>
      </x:c>
      <x:c r="Q12" s="36" t="n">
        <x:f>COUNTIF($L$6:$L$30,"&lt;"&amp;L12)</x:f>
        <x:v>1</x:v>
      </x:c>
      <x:c r="R12" s="36" t="n">
        <x:f>COUNTIF($L$6:$L$30,"&gt;"&amp;L12)</x:f>
        <x:v>23</x:v>
      </x:c>
      <x:c r="S12" s="36" t="n">
        <x:f>COUNTIF($L$6:$L$30,L12)-1</x:f>
        <x:v>0</x:v>
      </x:c>
      <x:c r="T12" s="15" t="str">
        <x:v>Medium</x:v>
      </x:c>
    </x:row>
    <x:row r="13" ht="48" customHeight="1">
      <x:c r="A13" s="15" t="str">
        <x:v>C08</x:v>
      </x:c>
      <x:c r="B13" s="15" t="str">
        <x:v>The Resume Place</x:v>
      </x:c>
      <x:c r="C13" s="32" t="n">
        <x:v>7</x:v>
      </x:c>
      <x:c r="D13" s="32" t="n">
        <x:v>7</x:v>
      </x:c>
      <x:c r="E13" s="32" t="n">
        <x:v>7</x:v>
      </x:c>
      <x:c r="F13" s="32" t="n">
        <x:v>8.5</x:v>
      </x:c>
      <x:c r="G13" s="32" t="n">
        <x:v>8.5</x:v>
      </x:c>
      <x:c r="H13" s="32" t="n">
        <x:v>8</x:v>
      </x:c>
      <x:c r="I13" s="32" t="n">
        <x:v>7.5</x:v>
      </x:c>
      <x:c r="J13" s="32" t="n">
        <x:v>9.5</x:v>
      </x:c>
      <x:c r="K13" s="32" t="n">
        <x:v>9</x:v>
      </x:c>
      <x:c r="L13" s="34" t="n">
        <x:f>SUMPRODUCT(C13:K13,Rubric!$C$6:$K$6)/Rubric!$B$8</x:f>
        <x:v>76.75</x:v>
      </x:c>
      <x:c r="M13" s="36" t="n">
        <x:f>ROUND(L13,0)</x:f>
        <x:v>77</x:v>
      </x:c>
      <x:c r="N13" s="36" t="n">
        <x:v>1</x:v>
      </x:c>
      <x:c r="O13" s="36" t="n">
        <x:v>21</x:v>
      </x:c>
      <x:c r="P13" s="36" t="n">
        <x:f>1+COUNTIF($L$6:$L$30,"&gt;"&amp;L13)+COUNTIFS($L$6:$L$30,L13,$D$6:$D$30,"&gt;"&amp;D13)+COUNTIFS($L$6:$L$30,L13,$D$6:$D$30,D13,$C$6:$C$30,"&gt;"&amp;C13)+COUNTIFS($L$6:$L$30,L13,$D$6:$D$30,D13,$C$6:$C$30,C13,$E$6:$E$30,"&gt;"&amp;E13)+COUNTIFS($L$6:$L$30,L13,$D$6:$D$30,D13,$C$6:$C$30,C13,$E$6:$E$30,E13,$N$6:$N$30,"&gt;"&amp;N13)+COUNTIFS($L$6:$L$30,L13,$D$6:$D$30,D13,$C$6:$C$30,C13,$E$6:$E$30,E13,$N$6:$N$30,N13,$O$6:$O$30,"&lt;"&amp;O13)</x:f>
        <x:v>19</x:v>
      </x:c>
      <x:c r="Q13" s="36" t="n">
        <x:f>COUNTIF($L$6:$L$30,"&lt;"&amp;L13)</x:f>
        <x:v>6</x:v>
      </x:c>
      <x:c r="R13" s="36" t="n">
        <x:f>COUNTIF($L$6:$L$30,"&gt;"&amp;L13)</x:f>
        <x:v>17</x:v>
      </x:c>
      <x:c r="S13" s="36" t="n">
        <x:f>COUNTIF($L$6:$L$30,L13)-1</x:f>
        <x:v>1</x:v>
      </x:c>
      <x:c r="T13" s="15" t="str">
        <x:v>Low</x:v>
      </x:c>
    </x:row>
    <x:row r="14" ht="48" customHeight="1">
      <x:c r="A14" s="15" t="str">
        <x:v>C09</x:v>
      </x:c>
      <x:c r="B14" s="15" t="str">
        <x:v>Ivy League Résumés</x:v>
      </x:c>
      <x:c r="C14" s="32" t="n">
        <x:v>9</x:v>
      </x:c>
      <x:c r="D14" s="32" t="n">
        <x:v>8.5</x:v>
      </x:c>
      <x:c r="E14" s="32" t="n">
        <x:v>9</x:v>
      </x:c>
      <x:c r="F14" s="32" t="n">
        <x:v>9.5</x:v>
      </x:c>
      <x:c r="G14" s="32" t="n">
        <x:v>9</x:v>
      </x:c>
      <x:c r="H14" s="32" t="n">
        <x:v>9</x:v>
      </x:c>
      <x:c r="I14" s="32" t="n">
        <x:v>8.5</x:v>
      </x:c>
      <x:c r="J14" s="32" t="n">
        <x:v>8.5</x:v>
      </x:c>
      <x:c r="K14" s="32" t="n">
        <x:v>7.5</x:v>
      </x:c>
      <x:c r="L14" s="34" t="n">
        <x:f>SUMPRODUCT(C14:K14,Rubric!$C$6:$K$6)/Rubric!$B$8</x:f>
        <x:v>88.25</x:v>
      </x:c>
      <x:c r="M14" s="36" t="n">
        <x:f>ROUND(L14,0)</x:f>
        <x:v>88</x:v>
      </x:c>
      <x:c r="N14" s="36" t="n">
        <x:v>2</x:v>
      </x:c>
      <x:c r="O14" s="36" t="n">
        <x:v>11</x:v>
      </x:c>
      <x:c r="P14" s="36" t="n">
        <x:f>1+COUNTIF($L$6:$L$30,"&gt;"&amp;L14)+COUNTIFS($L$6:$L$30,L14,$D$6:$D$30,"&gt;"&amp;D14)+COUNTIFS($L$6:$L$30,L14,$D$6:$D$30,D14,$C$6:$C$30,"&gt;"&amp;C14)+COUNTIFS($L$6:$L$30,L14,$D$6:$D$30,D14,$C$6:$C$30,C14,$E$6:$E$30,"&gt;"&amp;E14)+COUNTIFS($L$6:$L$30,L14,$D$6:$D$30,D14,$C$6:$C$30,C14,$E$6:$E$30,E14,$N$6:$N$30,"&gt;"&amp;N14)+COUNTIFS($L$6:$L$30,L14,$D$6:$D$30,D14,$C$6:$C$30,C14,$E$6:$E$30,E14,$N$6:$N$30,N14,$O$6:$O$30,"&lt;"&amp;O14)</x:f>
        <x:v>1</x:v>
      </x:c>
      <x:c r="Q14" s="36" t="n">
        <x:f>COUNTIF($L$6:$L$30,"&lt;"&amp;L14)</x:f>
        <x:v>24</x:v>
      </x:c>
      <x:c r="R14" s="36" t="n">
        <x:f>COUNTIF($L$6:$L$30,"&gt;"&amp;L14)</x:f>
        <x:v>0</x:v>
      </x:c>
      <x:c r="S14" s="36" t="n">
        <x:f>COUNTIF($L$6:$L$30,L14)-1</x:f>
        <x:v>0</x:v>
      </x:c>
      <x:c r="T14" s="15" t="str">
        <x:v>Medium</x:v>
      </x:c>
    </x:row>
    <x:row r="15" ht="48" customHeight="1">
      <x:c r="A15" s="15" t="str">
        <x:v>C10</x:v>
      </x:c>
      <x:c r="B15" s="15" t="str">
        <x:v>JobStars USA</x:v>
      </x:c>
      <x:c r="C15" s="32" t="n">
        <x:v>8.5</x:v>
      </x:c>
      <x:c r="D15" s="32" t="n">
        <x:v>7.5</x:v>
      </x:c>
      <x:c r="E15" s="32" t="n">
        <x:v>8</x:v>
      </x:c>
      <x:c r="F15" s="32" t="n">
        <x:v>8.5</x:v>
      </x:c>
      <x:c r="G15" s="32" t="n">
        <x:v>7.5</x:v>
      </x:c>
      <x:c r="H15" s="32" t="n">
        <x:v>8</x:v>
      </x:c>
      <x:c r="I15" s="32" t="n">
        <x:v>8.5</x:v>
      </x:c>
      <x:c r="J15" s="32" t="n">
        <x:v>8</x:v>
      </x:c>
      <x:c r="K15" s="32" t="n">
        <x:v>7.5</x:v>
      </x:c>
      <x:c r="L15" s="34" t="n">
        <x:f>SUMPRODUCT(C15:K15,Rubric!$C$6:$K$6)/Rubric!$B$8</x:f>
        <x:v>80.5</x:v>
      </x:c>
      <x:c r="M15" s="36" t="n">
        <x:f>ROUND(L15,0)</x:f>
        <x:v>81</x:v>
      </x:c>
      <x:c r="N15" s="36" t="n">
        <x:v>2</x:v>
      </x:c>
      <x:c r="O15" s="36" t="n">
        <x:v>12</x:v>
      </x:c>
      <x:c r="P15" s="36" t="n">
        <x:f>1+COUNTIF($L$6:$L$30,"&gt;"&amp;L15)+COUNTIFS($L$6:$L$30,L15,$D$6:$D$30,"&gt;"&amp;D15)+COUNTIFS($L$6:$L$30,L15,$D$6:$D$30,D15,$C$6:$C$30,"&gt;"&amp;C15)+COUNTIFS($L$6:$L$30,L15,$D$6:$D$30,D15,$C$6:$C$30,C15,$E$6:$E$30,"&gt;"&amp;E15)+COUNTIFS($L$6:$L$30,L15,$D$6:$D$30,D15,$C$6:$C$30,C15,$E$6:$E$30,E15,$N$6:$N$30,"&gt;"&amp;N15)+COUNTIFS($L$6:$L$30,L15,$D$6:$D$30,D15,$C$6:$C$30,C15,$E$6:$E$30,E15,$N$6:$N$30,N15,$O$6:$O$30,"&lt;"&amp;O15)</x:f>
        <x:v>10</x:v>
      </x:c>
      <x:c r="Q15" s="36" t="n">
        <x:f>COUNTIF($L$6:$L$30,"&lt;"&amp;L15)</x:f>
        <x:v>13</x:v>
      </x:c>
      <x:c r="R15" s="36" t="n">
        <x:f>COUNTIF($L$6:$L$30,"&gt;"&amp;L15)</x:f>
        <x:v>8</x:v>
      </x:c>
      <x:c r="S15" s="36" t="n">
        <x:f>COUNTIF($L$6:$L$30,L15)-1</x:f>
        <x:v>3</x:v>
      </x:c>
      <x:c r="T15" s="15" t="str">
        <x:v>Medium</x:v>
      </x:c>
    </x:row>
    <x:row r="16" ht="48" customHeight="1">
      <x:c r="A16" s="15" t="str">
        <x:v>C11</x:v>
      </x:c>
      <x:c r="B16" s="15" t="str">
        <x:v>Resume Professional Writers</x:v>
      </x:c>
      <x:c r="C16" s="32" t="n">
        <x:v>6.5</x:v>
      </x:c>
      <x:c r="D16" s="32" t="n">
        <x:v>6</x:v>
      </x:c>
      <x:c r="E16" s="32" t="n">
        <x:v>7.5</x:v>
      </x:c>
      <x:c r="F16" s="32" t="n">
        <x:v>6.5</x:v>
      </x:c>
      <x:c r="G16" s="32" t="n">
        <x:v>6.5</x:v>
      </x:c>
      <x:c r="H16" s="32" t="n">
        <x:v>5.5</x:v>
      </x:c>
      <x:c r="I16" s="32" t="n">
        <x:v>6.5</x:v>
      </x:c>
      <x:c r="J16" s="32" t="n">
        <x:v>9</x:v>
      </x:c>
      <x:c r="K16" s="32" t="n">
        <x:v>6</x:v>
      </x:c>
      <x:c r="L16" s="34" t="n">
        <x:f>SUMPRODUCT(C16:K16,Rubric!$C$6:$K$6)/Rubric!$B$8</x:f>
        <x:v>65.75</x:v>
      </x:c>
      <x:c r="M16" s="36" t="n">
        <x:f>ROUND(L16,0)</x:f>
        <x:v>66</x:v>
      </x:c>
      <x:c r="N16" s="36" t="n">
        <x:v>2</x:v>
      </x:c>
      <x:c r="O16" s="36" t="n">
        <x:v>15</x:v>
      </x:c>
      <x:c r="P16" s="36" t="n">
        <x:f>1+COUNTIF($L$6:$L$30,"&gt;"&amp;L16)+COUNTIFS($L$6:$L$30,L16,$D$6:$D$30,"&gt;"&amp;D16)+COUNTIFS($L$6:$L$30,L16,$D$6:$D$30,D16,$C$6:$C$30,"&gt;"&amp;C16)+COUNTIFS($L$6:$L$30,L16,$D$6:$D$30,D16,$C$6:$C$30,C16,$E$6:$E$30,"&gt;"&amp;E16)+COUNTIFS($L$6:$L$30,L16,$D$6:$D$30,D16,$C$6:$C$30,C16,$E$6:$E$30,E16,$N$6:$N$30,"&gt;"&amp;N16)+COUNTIFS($L$6:$L$30,L16,$D$6:$D$30,D16,$C$6:$C$30,C16,$E$6:$E$30,E16,$N$6:$N$30,N16,$O$6:$O$30,"&lt;"&amp;O16)</x:f>
        <x:v>23</x:v>
      </x:c>
      <x:c r="Q16" s="36" t="n">
        <x:f>COUNTIF($L$6:$L$30,"&lt;"&amp;L16)</x:f>
        <x:v>2</x:v>
      </x:c>
      <x:c r="R16" s="36" t="n">
        <x:f>COUNTIF($L$6:$L$30,"&gt;"&amp;L16)</x:f>
        <x:v>22</x:v>
      </x:c>
      <x:c r="S16" s="36" t="n">
        <x:f>COUNTIF($L$6:$L$30,L16)-1</x:f>
        <x:v>0</x:v>
      </x:c>
      <x:c r="T16" s="15" t="str">
        <x:v>Medium</x:v>
      </x:c>
    </x:row>
    <x:row r="17" ht="48" customHeight="1">
      <x:c r="A17" s="15" t="str">
        <x:v>C12</x:v>
      </x:c>
      <x:c r="B17" s="15" t="str">
        <x:v>iCareerSolutions</x:v>
      </x:c>
      <x:c r="C17" s="32" t="n">
        <x:v>8</x:v>
      </x:c>
      <x:c r="D17" s="32" t="n">
        <x:v>7.5</x:v>
      </x:c>
      <x:c r="E17" s="32" t="n">
        <x:v>8</x:v>
      </x:c>
      <x:c r="F17" s="32" t="n">
        <x:v>9</x:v>
      </x:c>
      <x:c r="G17" s="32" t="n">
        <x:v>8.5</x:v>
      </x:c>
      <x:c r="H17" s="32" t="n">
        <x:v>8</x:v>
      </x:c>
      <x:c r="I17" s="32" t="n">
        <x:v>8</x:v>
      </x:c>
      <x:c r="J17" s="32" t="n">
        <x:v>8</x:v>
      </x:c>
      <x:c r="K17" s="32" t="n">
        <x:v>7.5</x:v>
      </x:c>
      <x:c r="L17" s="34" t="n">
        <x:f>SUMPRODUCT(C17:K17,Rubric!$C$6:$K$6)/Rubric!$B$8</x:f>
        <x:v>80.5</x:v>
      </x:c>
      <x:c r="M17" s="36" t="n">
        <x:f>ROUND(L17,0)</x:f>
        <x:v>81</x:v>
      </x:c>
      <x:c r="N17" s="36" t="n">
        <x:v>2</x:v>
      </x:c>
      <x:c r="O17" s="36" t="n">
        <x:v>25</x:v>
      </x:c>
      <x:c r="P17" s="36" t="n">
        <x:f>1+COUNTIF($L$6:$L$30,"&gt;"&amp;L17)+COUNTIFS($L$6:$L$30,L17,$D$6:$D$30,"&gt;"&amp;D17)+COUNTIFS($L$6:$L$30,L17,$D$6:$D$30,D17,$C$6:$C$30,"&gt;"&amp;C17)+COUNTIFS($L$6:$L$30,L17,$D$6:$D$30,D17,$C$6:$C$30,C17,$E$6:$E$30,"&gt;"&amp;E17)+COUNTIFS($L$6:$L$30,L17,$D$6:$D$30,D17,$C$6:$C$30,C17,$E$6:$E$30,E17,$N$6:$N$30,"&gt;"&amp;N17)+COUNTIFS($L$6:$L$30,L17,$D$6:$D$30,D17,$C$6:$C$30,C17,$E$6:$E$30,E17,$N$6:$N$30,N17,$O$6:$O$30,"&lt;"&amp;O17)</x:f>
        <x:v>12</x:v>
      </x:c>
      <x:c r="Q17" s="36" t="n">
        <x:f>COUNTIF($L$6:$L$30,"&lt;"&amp;L17)</x:f>
        <x:v>13</x:v>
      </x:c>
      <x:c r="R17" s="36" t="n">
        <x:f>COUNTIF($L$6:$L$30,"&gt;"&amp;L17)</x:f>
        <x:v>8</x:v>
      </x:c>
      <x:c r="S17" s="36" t="n">
        <x:f>COUNTIF($L$6:$L$30,L17)-1</x:f>
        <x:v>3</x:v>
      </x:c>
      <x:c r="T17" s="15" t="str">
        <x:v>Medium</x:v>
      </x:c>
    </x:row>
    <x:row r="18" ht="48" customHeight="1">
      <x:c r="A18" s="15" t="str">
        <x:v>C13</x:v>
      </x:c>
      <x:c r="B18" s="15" t="str">
        <x:v>Distinctive Career Services</x:v>
      </x:c>
      <x:c r="C18" s="32" t="n">
        <x:v>8</x:v>
      </x:c>
      <x:c r="D18" s="32" t="n">
        <x:v>8</x:v>
      </x:c>
      <x:c r="E18" s="32" t="n">
        <x:v>7.5</x:v>
      </x:c>
      <x:c r="F18" s="32" t="n">
        <x:v>8.5</x:v>
      </x:c>
      <x:c r="G18" s="32" t="n">
        <x:v>8.5</x:v>
      </x:c>
      <x:c r="H18" s="32" t="n">
        <x:v>9</x:v>
      </x:c>
      <x:c r="I18" s="32" t="n">
        <x:v>8</x:v>
      </x:c>
      <x:c r="J18" s="32" t="n">
        <x:v>9.5</x:v>
      </x:c>
      <x:c r="K18" s="32" t="n">
        <x:v>9.5</x:v>
      </x:c>
      <x:c r="L18" s="34" t="n">
        <x:f>SUMPRODUCT(C18:K18,Rubric!$C$6:$K$6)/Rubric!$B$8</x:f>
        <x:v>82.75</x:v>
      </x:c>
      <x:c r="M18" s="36" t="n">
        <x:f>ROUND(L18,0)</x:f>
        <x:v>83</x:v>
      </x:c>
      <x:c r="N18" s="36" t="n">
        <x:v>2</x:v>
      </x:c>
      <x:c r="O18" s="36" t="n">
        <x:v>7</x:v>
      </x:c>
      <x:c r="P18" s="36" t="n">
        <x:f>1+COUNTIF($L$6:$L$30,"&gt;"&amp;L18)+COUNTIFS($L$6:$L$30,L18,$D$6:$D$30,"&gt;"&amp;D18)+COUNTIFS($L$6:$L$30,L18,$D$6:$D$30,D18,$C$6:$C$30,"&gt;"&amp;C18)+COUNTIFS($L$6:$L$30,L18,$D$6:$D$30,D18,$C$6:$C$30,C18,$E$6:$E$30,"&gt;"&amp;E18)+COUNTIFS($L$6:$L$30,L18,$D$6:$D$30,D18,$C$6:$C$30,C18,$E$6:$E$30,E18,$N$6:$N$30,"&gt;"&amp;N18)+COUNTIFS($L$6:$L$30,L18,$D$6:$D$30,D18,$C$6:$C$30,C18,$E$6:$E$30,E18,$N$6:$N$30,N18,$O$6:$O$30,"&lt;"&amp;O18)</x:f>
        <x:v>4</x:v>
      </x:c>
      <x:c r="Q18" s="36" t="n">
        <x:f>COUNTIF($L$6:$L$30,"&lt;"&amp;L18)</x:f>
        <x:v>21</x:v>
      </x:c>
      <x:c r="R18" s="36" t="n">
        <x:f>COUNTIF($L$6:$L$30,"&gt;"&amp;L18)</x:f>
        <x:v>3</x:v>
      </x:c>
      <x:c r="S18" s="36" t="n">
        <x:f>COUNTIF($L$6:$L$30,L18)-1</x:f>
        <x:v>0</x:v>
      </x:c>
      <x:c r="T18" s="15" t="str">
        <x:v>Medium</x:v>
      </x:c>
    </x:row>
    <x:row r="19" ht="48" customHeight="1">
      <x:c r="A19" s="15" t="str">
        <x:v>C14</x:v>
      </x:c>
      <x:c r="B19" s="15" t="str">
        <x:v>Resume Writing Group</x:v>
      </x:c>
      <x:c r="C19" s="32" t="n">
        <x:v>6</x:v>
      </x:c>
      <x:c r="D19" s="32" t="n">
        <x:v>5.5</x:v>
      </x:c>
      <x:c r="E19" s="32" t="n">
        <x:v>6.5</x:v>
      </x:c>
      <x:c r="F19" s="32" t="n">
        <x:v>6.5</x:v>
      </x:c>
      <x:c r="G19" s="32" t="n">
        <x:v>6</x:v>
      </x:c>
      <x:c r="H19" s="32" t="n">
        <x:v>6</x:v>
      </x:c>
      <x:c r="I19" s="32" t="n">
        <x:v>4.5</x:v>
      </x:c>
      <x:c r="J19" s="32" t="n">
        <x:v>8</x:v>
      </x:c>
      <x:c r="K19" s="32" t="n">
        <x:v>5.5</x:v>
      </x:c>
      <x:c r="L19" s="34" t="n">
        <x:f>SUMPRODUCT(C19:K19,Rubric!$C$6:$K$6)/Rubric!$B$8</x:f>
        <x:v>59.75</x:v>
      </x:c>
      <x:c r="M19" s="36" t="n">
        <x:f>ROUND(L19,0)</x:f>
        <x:v>60</x:v>
      </x:c>
      <x:c r="N19" s="36" t="n">
        <x:v>2</x:v>
      </x:c>
      <x:c r="O19" s="36" t="n">
        <x:v>17</x:v>
      </x:c>
      <x:c r="P19" s="36" t="n">
        <x:f>1+COUNTIF($L$6:$L$30,"&gt;"&amp;L19)+COUNTIFS($L$6:$L$30,L19,$D$6:$D$30,"&gt;"&amp;D19)+COUNTIFS($L$6:$L$30,L19,$D$6:$D$30,D19,$C$6:$C$30,"&gt;"&amp;C19)+COUNTIFS($L$6:$L$30,L19,$D$6:$D$30,D19,$C$6:$C$30,C19,$E$6:$E$30,"&gt;"&amp;E19)+COUNTIFS($L$6:$L$30,L19,$D$6:$D$30,D19,$C$6:$C$30,C19,$E$6:$E$30,E19,$N$6:$N$30,"&gt;"&amp;N19)+COUNTIFS($L$6:$L$30,L19,$D$6:$D$30,D19,$C$6:$C$30,C19,$E$6:$E$30,E19,$N$6:$N$30,N19,$O$6:$O$30,"&lt;"&amp;O19)</x:f>
        <x:v>25</x:v>
      </x:c>
      <x:c r="Q19" s="36" t="n">
        <x:f>COUNTIF($L$6:$L$30,"&lt;"&amp;L19)</x:f>
        <x:v>0</x:v>
      </x:c>
      <x:c r="R19" s="36" t="n">
        <x:f>COUNTIF($L$6:$L$30,"&gt;"&amp;L19)</x:f>
        <x:v>24</x:v>
      </x:c>
      <x:c r="S19" s="36" t="n">
        <x:f>COUNTIF($L$6:$L$30,L19)-1</x:f>
        <x:v>0</x:v>
      </x:c>
      <x:c r="T19" s="15" t="str">
        <x:v>Medium</x:v>
      </x:c>
    </x:row>
    <x:row r="20" ht="48" customHeight="1">
      <x:c r="A20" s="15" t="str">
        <x:v>C15</x:v>
      </x:c>
      <x:c r="B20" s="15" t="str">
        <x:v>An Expert Resume</x:v>
      </x:c>
      <x:c r="C20" s="32" t="n">
        <x:v>8.5</x:v>
      </x:c>
      <x:c r="D20" s="32" t="n">
        <x:v>8.5</x:v>
      </x:c>
      <x:c r="E20" s="32" t="n">
        <x:v>7.5</x:v>
      </x:c>
      <x:c r="F20" s="32" t="n">
        <x:v>9.5</x:v>
      </x:c>
      <x:c r="G20" s="32" t="n">
        <x:v>9</x:v>
      </x:c>
      <x:c r="H20" s="32" t="n">
        <x:v>8</x:v>
      </x:c>
      <x:c r="I20" s="32" t="n">
        <x:v>8</x:v>
      </x:c>
      <x:c r="J20" s="32" t="n">
        <x:v>9</x:v>
      </x:c>
      <x:c r="K20" s="32" t="n">
        <x:v>8.5</x:v>
      </x:c>
      <x:c r="L20" s="34" t="n">
        <x:f>SUMPRODUCT(C20:K20,Rubric!$C$6:$K$6)/Rubric!$B$8</x:f>
        <x:v>84.25</x:v>
      </x:c>
      <x:c r="M20" s="36" t="n">
        <x:f>ROUND(L20,0)</x:f>
        <x:v>84</x:v>
      </x:c>
      <x:c r="N20" s="36" t="n">
        <x:v>2</x:v>
      </x:c>
      <x:c r="O20" s="36" t="n">
        <x:v>1</x:v>
      </x:c>
      <x:c r="P20" s="36" t="n">
        <x:f>1+COUNTIF($L$6:$L$30,"&gt;"&amp;L20)+COUNTIFS($L$6:$L$30,L20,$D$6:$D$30,"&gt;"&amp;D20)+COUNTIFS($L$6:$L$30,L20,$D$6:$D$30,D20,$C$6:$C$30,"&gt;"&amp;C20)+COUNTIFS($L$6:$L$30,L20,$D$6:$D$30,D20,$C$6:$C$30,C20,$E$6:$E$30,"&gt;"&amp;E20)+COUNTIFS($L$6:$L$30,L20,$D$6:$D$30,D20,$C$6:$C$30,C20,$E$6:$E$30,E20,$N$6:$N$30,"&gt;"&amp;N20)+COUNTIFS($L$6:$L$30,L20,$D$6:$D$30,D20,$C$6:$C$30,C20,$E$6:$E$30,E20,$N$6:$N$30,N20,$O$6:$O$30,"&lt;"&amp;O20)</x:f>
        <x:v>3</x:v>
      </x:c>
      <x:c r="Q20" s="36" t="n">
        <x:f>COUNTIF($L$6:$L$30,"&lt;"&amp;L20)</x:f>
        <x:v>22</x:v>
      </x:c>
      <x:c r="R20" s="36" t="n">
        <x:f>COUNTIF($L$6:$L$30,"&gt;"&amp;L20)</x:f>
        <x:v>2</x:v>
      </x:c>
      <x:c r="S20" s="36" t="n">
        <x:f>COUNTIF($L$6:$L$30,L20)-1</x:f>
        <x:v>0</x:v>
      </x:c>
      <x:c r="T20" s="15" t="str">
        <x:v>Medium</x:v>
      </x:c>
    </x:row>
    <x:row r="21" ht="48" customHeight="1">
      <x:c r="A21" s="15" t="str">
        <x:v>C16</x:v>
      </x:c>
      <x:c r="B21" s="15" t="str">
        <x:v>Resume Target</x:v>
      </x:c>
      <x:c r="C21" s="32" t="n">
        <x:v>7.5</x:v>
      </x:c>
      <x:c r="D21" s="32" t="n">
        <x:v>6.5</x:v>
      </x:c>
      <x:c r="E21" s="32" t="n">
        <x:v>8</x:v>
      </x:c>
      <x:c r="F21" s="32" t="n">
        <x:v>8.5</x:v>
      </x:c>
      <x:c r="G21" s="32" t="n">
        <x:v>7</x:v>
      </x:c>
      <x:c r="H21" s="32" t="n">
        <x:v>7.5</x:v>
      </x:c>
      <x:c r="I21" s="32" t="n">
        <x:v>7</x:v>
      </x:c>
      <x:c r="J21" s="32" t="n">
        <x:v>9</x:v>
      </x:c>
      <x:c r="K21" s="32" t="n">
        <x:v>6.5</x:v>
      </x:c>
      <x:c r="L21" s="34" t="n">
        <x:f>SUMPRODUCT(C21:K21,Rubric!$C$6:$K$6)/Rubric!$B$8</x:f>
        <x:v>74.5</x:v>
      </x:c>
      <x:c r="M21" s="36" t="n">
        <x:f>ROUND(L21,0)</x:f>
        <x:v>75</x:v>
      </x:c>
      <x:c r="N21" s="36" t="n">
        <x:v>1</x:v>
      </x:c>
      <x:c r="O21" s="36" t="n">
        <x:v>16</x:v>
      </x:c>
      <x:c r="P21" s="36" t="n">
        <x:f>1+COUNTIF($L$6:$L$30,"&gt;"&amp;L21)+COUNTIFS($L$6:$L$30,L21,$D$6:$D$30,"&gt;"&amp;D21)+COUNTIFS($L$6:$L$30,L21,$D$6:$D$30,D21,$C$6:$C$30,"&gt;"&amp;C21)+COUNTIFS($L$6:$L$30,L21,$D$6:$D$30,D21,$C$6:$C$30,C21,$E$6:$E$30,"&gt;"&amp;E21)+COUNTIFS($L$6:$L$30,L21,$D$6:$D$30,D21,$C$6:$C$30,C21,$E$6:$E$30,E21,$N$6:$N$30,"&gt;"&amp;N21)+COUNTIFS($L$6:$L$30,L21,$D$6:$D$30,D21,$C$6:$C$30,C21,$E$6:$E$30,E21,$N$6:$N$30,N21,$O$6:$O$30,"&lt;"&amp;O21)</x:f>
        <x:v>22</x:v>
      </x:c>
      <x:c r="Q21" s="36" t="n">
        <x:f>COUNTIF($L$6:$L$30,"&lt;"&amp;L21)</x:f>
        <x:v>3</x:v>
      </x:c>
      <x:c r="R21" s="36" t="n">
        <x:f>COUNTIF($L$6:$L$30,"&gt;"&amp;L21)</x:f>
        <x:v>20</x:v>
      </x:c>
      <x:c r="S21" s="36" t="n">
        <x:f>COUNTIF($L$6:$L$30,L21)-1</x:f>
        <x:v>1</x:v>
      </x:c>
      <x:c r="T21" s="15" t="str">
        <x:v>Low</x:v>
      </x:c>
    </x:row>
    <x:row r="22" ht="48" customHeight="1">
      <x:c r="A22" s="15" t="str">
        <x:v>C17</x:v>
      </x:c>
      <x:c r="B22" s="15" t="str">
        <x:v>The Writing Guru</x:v>
      </x:c>
      <x:c r="C22" s="32" t="n">
        <x:v>8</x:v>
      </x:c>
      <x:c r="D22" s="32" t="n">
        <x:v>8</x:v>
      </x:c>
      <x:c r="E22" s="32" t="n">
        <x:v>7</x:v>
      </x:c>
      <x:c r="F22" s="32" t="n">
        <x:v>9.5</x:v>
      </x:c>
      <x:c r="G22" s="32" t="n">
        <x:v>9</x:v>
      </x:c>
      <x:c r="H22" s="32" t="n">
        <x:v>8.5</x:v>
      </x:c>
      <x:c r="I22" s="32" t="n">
        <x:v>8</x:v>
      </x:c>
      <x:c r="J22" s="32" t="n">
        <x:v>8.5</x:v>
      </x:c>
      <x:c r="K22" s="32" t="n">
        <x:v>9.5</x:v>
      </x:c>
      <x:c r="L22" s="34" t="n">
        <x:f>SUMPRODUCT(C22:K22,Rubric!$C$6:$K$6)/Rubric!$B$8</x:f>
        <x:v>82.5</x:v>
      </x:c>
      <x:c r="M22" s="36" t="n">
        <x:f>ROUND(L22,0)</x:f>
        <x:v>83</x:v>
      </x:c>
      <x:c r="N22" s="36" t="n">
        <x:v>2</x:v>
      </x:c>
      <x:c r="O22" s="36" t="n">
        <x:v>22</x:v>
      </x:c>
      <x:c r="P22" s="36" t="n">
        <x:f>1+COUNTIF($L$6:$L$30,"&gt;"&amp;L22)+COUNTIFS($L$6:$L$30,L22,$D$6:$D$30,"&gt;"&amp;D22)+COUNTIFS($L$6:$L$30,L22,$D$6:$D$30,D22,$C$6:$C$30,"&gt;"&amp;C22)+COUNTIFS($L$6:$L$30,L22,$D$6:$D$30,D22,$C$6:$C$30,C22,$E$6:$E$30,"&gt;"&amp;E22)+COUNTIFS($L$6:$L$30,L22,$D$6:$D$30,D22,$C$6:$C$30,C22,$E$6:$E$30,E22,$N$6:$N$30,"&gt;"&amp;N22)+COUNTIFS($L$6:$L$30,L22,$D$6:$D$30,D22,$C$6:$C$30,C22,$E$6:$E$30,E22,$N$6:$N$30,N22,$O$6:$O$30,"&lt;"&amp;O22)</x:f>
        <x:v>5</x:v>
      </x:c>
      <x:c r="Q22" s="36" t="n">
        <x:f>COUNTIF($L$6:$L$30,"&lt;"&amp;L22)</x:f>
        <x:v>20</x:v>
      </x:c>
      <x:c r="R22" s="36" t="n">
        <x:f>COUNTIF($L$6:$L$30,"&gt;"&amp;L22)</x:f>
        <x:v>4</x:v>
      </x:c>
      <x:c r="S22" s="36" t="n">
        <x:f>COUNTIF($L$6:$L$30,L22)-1</x:f>
        <x:v>0</x:v>
      </x:c>
      <x:c r="T22" s="15" t="str">
        <x:v>Medium</x:v>
      </x:c>
    </x:row>
    <x:row r="23" ht="48" customHeight="1">
      <x:c r="A23" s="15" t="str">
        <x:v>C18</x:v>
      </x:c>
      <x:c r="B23" s="15" t="str">
        <x:v>Career Impressions</x:v>
      </x:c>
      <x:c r="C23" s="32" t="n">
        <x:v>8.5</x:v>
      </x:c>
      <x:c r="D23" s="32" t="n">
        <x:v>8</x:v>
      </x:c>
      <x:c r="E23" s="32" t="n">
        <x:v>8</x:v>
      </x:c>
      <x:c r="F23" s="32" t="n">
        <x:v>9.5</x:v>
      </x:c>
      <x:c r="G23" s="32" t="n">
        <x:v>9</x:v>
      </x:c>
      <x:c r="H23" s="32" t="n">
        <x:v>8.5</x:v>
      </x:c>
      <x:c r="I23" s="32" t="n">
        <x:v>8</x:v>
      </x:c>
      <x:c r="J23" s="32" t="n">
        <x:v>8.5</x:v>
      </x:c>
      <x:c r="K23" s="32" t="n">
        <x:v>8.5</x:v>
      </x:c>
      <x:c r="L23" s="34" t="n">
        <x:f>SUMPRODUCT(C23:K23,Rubric!$C$6:$K$6)/Rubric!$B$8</x:f>
        <x:v>84.5</x:v>
      </x:c>
      <x:c r="M23" s="36" t="n">
        <x:f>ROUND(L23,0)</x:f>
        <x:v>85</x:v>
      </x:c>
      <x:c r="N23" s="36" t="n">
        <x:v>2</x:v>
      </x:c>
      <x:c r="O23" s="36" t="n">
        <x:v>4</x:v>
      </x:c>
      <x:c r="P23" s="36" t="n">
        <x:f>1+COUNTIF($L$6:$L$30,"&gt;"&amp;L23)+COUNTIFS($L$6:$L$30,L23,$D$6:$D$30,"&gt;"&amp;D23)+COUNTIFS($L$6:$L$30,L23,$D$6:$D$30,D23,$C$6:$C$30,"&gt;"&amp;C23)+COUNTIFS($L$6:$L$30,L23,$D$6:$D$30,D23,$C$6:$C$30,C23,$E$6:$E$30,"&gt;"&amp;E23)+COUNTIFS($L$6:$L$30,L23,$D$6:$D$30,D23,$C$6:$C$30,C23,$E$6:$E$30,E23,$N$6:$N$30,"&gt;"&amp;N23)+COUNTIFS($L$6:$L$30,L23,$D$6:$D$30,D23,$C$6:$C$30,C23,$E$6:$E$30,E23,$N$6:$N$30,N23,$O$6:$O$30,"&lt;"&amp;O23)</x:f>
        <x:v>2</x:v>
      </x:c>
      <x:c r="Q23" s="36" t="n">
        <x:f>COUNTIF($L$6:$L$30,"&lt;"&amp;L23)</x:f>
        <x:v>23</x:v>
      </x:c>
      <x:c r="R23" s="36" t="n">
        <x:f>COUNTIF($L$6:$L$30,"&gt;"&amp;L23)</x:f>
        <x:v>1</x:v>
      </x:c>
      <x:c r="S23" s="36" t="n">
        <x:f>COUNTIF($L$6:$L$30,L23)-1</x:f>
        <x:v>0</x:v>
      </x:c>
      <x:c r="T23" s="15" t="str">
        <x:v>Medium</x:v>
      </x:c>
    </x:row>
    <x:row r="24" ht="48" customHeight="1">
      <x:c r="A24" s="15" t="str">
        <x:v>C19</x:v>
      </x:c>
      <x:c r="B24" s="15" t="str">
        <x:v>CareerProPlus / CareerPro Global</x:v>
      </x:c>
      <x:c r="C24" s="32" t="n">
        <x:v>8</x:v>
      </x:c>
      <x:c r="D24" s="32" t="n">
        <x:v>7</x:v>
      </x:c>
      <x:c r="E24" s="32" t="n">
        <x:v>7</x:v>
      </x:c>
      <x:c r="F24" s="32" t="n">
        <x:v>8.5</x:v>
      </x:c>
      <x:c r="G24" s="32" t="n">
        <x:v>8</x:v>
      </x:c>
      <x:c r="H24" s="32" t="n">
        <x:v>7.5</x:v>
      </x:c>
      <x:c r="I24" s="32" t="n">
        <x:v>7.5</x:v>
      </x:c>
      <x:c r="J24" s="32" t="n">
        <x:v>9.5</x:v>
      </x:c>
      <x:c r="K24" s="32" t="n">
        <x:v>8.5</x:v>
      </x:c>
      <x:c r="L24" s="34" t="n">
        <x:f>SUMPRODUCT(C24:K24,Rubric!$C$6:$K$6)/Rubric!$B$8</x:f>
        <x:v>77.5</x:v>
      </x:c>
      <x:c r="M24" s="36" t="n">
        <x:f>ROUND(L24,0)</x:f>
        <x:v>78</x:v>
      </x:c>
      <x:c r="N24" s="36" t="n">
        <x:v>1</x:v>
      </x:c>
      <x:c r="O24" s="36" t="n">
        <x:v>6</x:v>
      </x:c>
      <x:c r="P24" s="36" t="n">
        <x:f>1+COUNTIF($L$6:$L$30,"&gt;"&amp;L24)+COUNTIFS($L$6:$L$30,L24,$D$6:$D$30,"&gt;"&amp;D24)+COUNTIFS($L$6:$L$30,L24,$D$6:$D$30,D24,$C$6:$C$30,"&gt;"&amp;C24)+COUNTIFS($L$6:$L$30,L24,$D$6:$D$30,D24,$C$6:$C$30,C24,$E$6:$E$30,"&gt;"&amp;E24)+COUNTIFS($L$6:$L$30,L24,$D$6:$D$30,D24,$C$6:$C$30,C24,$E$6:$E$30,E24,$N$6:$N$30,"&gt;"&amp;N24)+COUNTIFS($L$6:$L$30,L24,$D$6:$D$30,D24,$C$6:$C$30,C24,$E$6:$E$30,E24,$N$6:$N$30,N24,$O$6:$O$30,"&lt;"&amp;O24)</x:f>
        <x:v>16</x:v>
      </x:c>
      <x:c r="Q24" s="36" t="n">
        <x:f>COUNTIF($L$6:$L$30,"&lt;"&amp;L24)</x:f>
        <x:v>9</x:v>
      </x:c>
      <x:c r="R24" s="36" t="n">
        <x:f>COUNTIF($L$6:$L$30,"&gt;"&amp;L24)</x:f>
        <x:v>15</x:v>
      </x:c>
      <x:c r="S24" s="36" t="n">
        <x:f>COUNTIF($L$6:$L$30,L24)-1</x:f>
        <x:v>0</x:v>
      </x:c>
      <x:c r="T24" s="15" t="str">
        <x:v>Low</x:v>
      </x:c>
    </x:row>
    <x:row r="25" ht="48" customHeight="1">
      <x:c r="A25" s="15" t="str">
        <x:v>C20</x:v>
      </x:c>
      <x:c r="B25" s="15" t="str">
        <x:v>Career Steering</x:v>
      </x:c>
      <x:c r="C25" s="32" t="n">
        <x:v>8.5</x:v>
      </x:c>
      <x:c r="D25" s="32" t="n">
        <x:v>8</x:v>
      </x:c>
      <x:c r="E25" s="32" t="n">
        <x:v>7.5</x:v>
      </x:c>
      <x:c r="F25" s="32" t="n">
        <x:v>9.5</x:v>
      </x:c>
      <x:c r="G25" s="32" t="n">
        <x:v>8.5</x:v>
      </x:c>
      <x:c r="H25" s="32" t="n">
        <x:v>8</x:v>
      </x:c>
      <x:c r="I25" s="32" t="n">
        <x:v>7.5</x:v>
      </x:c>
      <x:c r="J25" s="32" t="n">
        <x:v>9</x:v>
      </x:c>
      <x:c r="K25" s="32" t="n">
        <x:v>8</x:v>
      </x:c>
      <x:c r="L25" s="34" t="n">
        <x:f>SUMPRODUCT(C25:K25,Rubric!$C$6:$K$6)/Rubric!$B$8</x:f>
        <x:v>82.25</x:v>
      </x:c>
      <x:c r="M25" s="36" t="n">
        <x:f>ROUND(L25,0)</x:f>
        <x:v>82</x:v>
      </x:c>
      <x:c r="N25" s="36" t="n">
        <x:v>2</x:v>
      </x:c>
      <x:c r="O25" s="36" t="n">
        <x:v>5</x:v>
      </x:c>
      <x:c r="P25" s="36" t="n">
        <x:f>1+COUNTIF($L$6:$L$30,"&gt;"&amp;L25)+COUNTIFS($L$6:$L$30,L25,$D$6:$D$30,"&gt;"&amp;D25)+COUNTIFS($L$6:$L$30,L25,$D$6:$D$30,D25,$C$6:$C$30,"&gt;"&amp;C25)+COUNTIFS($L$6:$L$30,L25,$D$6:$D$30,D25,$C$6:$C$30,C25,$E$6:$E$30,"&gt;"&amp;E25)+COUNTIFS($L$6:$L$30,L25,$D$6:$D$30,D25,$C$6:$C$30,C25,$E$6:$E$30,E25,$N$6:$N$30,"&gt;"&amp;N25)+COUNTIFS($L$6:$L$30,L25,$D$6:$D$30,D25,$C$6:$C$30,C25,$E$6:$E$30,E25,$N$6:$N$30,N25,$O$6:$O$30,"&lt;"&amp;O25)</x:f>
        <x:v>6</x:v>
      </x:c>
      <x:c r="Q25" s="36" t="n">
        <x:f>COUNTIF($L$6:$L$30,"&lt;"&amp;L25)</x:f>
        <x:v>19</x:v>
      </x:c>
      <x:c r="R25" s="36" t="n">
        <x:f>COUNTIF($L$6:$L$30,"&gt;"&amp;L25)</x:f>
        <x:v>5</x:v>
      </x:c>
      <x:c r="S25" s="36" t="n">
        <x:f>COUNTIF($L$6:$L$30,L25)-1</x:f>
        <x:v>0</x:v>
      </x:c>
      <x:c r="T25" s="15" t="str">
        <x:v>Medium</x:v>
      </x:c>
    </x:row>
    <x:row r="26" ht="48" customHeight="1">
      <x:c r="A26" s="15" t="str">
        <x:v>C21</x:v>
      </x:c>
      <x:c r="B26" s="15" t="str">
        <x:v>Blue Sky Resumes</x:v>
      </x:c>
      <x:c r="C26" s="32" t="n">
        <x:v>7.5</x:v>
      </x:c>
      <x:c r="D26" s="32" t="n">
        <x:v>7.5</x:v>
      </x:c>
      <x:c r="E26" s="32" t="n">
        <x:v>8.5</x:v>
      </x:c>
      <x:c r="F26" s="32" t="n">
        <x:v>8.5</x:v>
      </x:c>
      <x:c r="G26" s="32" t="n">
        <x:v>7.5</x:v>
      </x:c>
      <x:c r="H26" s="32" t="n">
        <x:v>8</x:v>
      </x:c>
      <x:c r="I26" s="32" t="n">
        <x:v>8</x:v>
      </x:c>
      <x:c r="J26" s="32" t="n">
        <x:v>9</x:v>
      </x:c>
      <x:c r="K26" s="32" t="n">
        <x:v>7.5</x:v>
      </x:c>
      <x:c r="L26" s="34" t="n">
        <x:f>SUMPRODUCT(C26:K26,Rubric!$C$6:$K$6)/Rubric!$B$8</x:f>
        <x:v>79.25</x:v>
      </x:c>
      <x:c r="M26" s="36" t="n">
        <x:f>ROUND(L26,0)</x:f>
        <x:v>79</x:v>
      </x:c>
      <x:c r="N26" s="36" t="n">
        <x:v>1</x:v>
      </x:c>
      <x:c r="O26" s="36" t="n">
        <x:v>2</x:v>
      </x:c>
      <x:c r="P26" s="36" t="n">
        <x:f>1+COUNTIF($L$6:$L$30,"&gt;"&amp;L26)+COUNTIFS($L$6:$L$30,L26,$D$6:$D$30,"&gt;"&amp;D26)+COUNTIFS($L$6:$L$30,L26,$D$6:$D$30,D26,$C$6:$C$30,"&gt;"&amp;C26)+COUNTIFS($L$6:$L$30,L26,$D$6:$D$30,D26,$C$6:$C$30,C26,$E$6:$E$30,"&gt;"&amp;E26)+COUNTIFS($L$6:$L$30,L26,$D$6:$D$30,D26,$C$6:$C$30,C26,$E$6:$E$30,E26,$N$6:$N$30,"&gt;"&amp;N26)+COUNTIFS($L$6:$L$30,L26,$D$6:$D$30,D26,$C$6:$C$30,C26,$E$6:$E$30,E26,$N$6:$N$30,N26,$O$6:$O$30,"&lt;"&amp;O26)</x:f>
        <x:v>15</x:v>
      </x:c>
      <x:c r="Q26" s="36" t="n">
        <x:f>COUNTIF($L$6:$L$30,"&lt;"&amp;L26)</x:f>
        <x:v>10</x:v>
      </x:c>
      <x:c r="R26" s="36" t="n">
        <x:f>COUNTIF($L$6:$L$30,"&gt;"&amp;L26)</x:f>
        <x:v>13</x:v>
      </x:c>
      <x:c r="S26" s="36" t="n">
        <x:f>COUNTIF($L$6:$L$30,L26)-1</x:f>
        <x:v>1</x:v>
      </x:c>
      <x:c r="T26" s="15" t="str">
        <x:v>Low</x:v>
      </x:c>
    </x:row>
    <x:row r="27" ht="48" customHeight="1">
      <x:c r="A27" s="15" t="str">
        <x:v>C22</x:v>
      </x:c>
      <x:c r="B27" s="15" t="str">
        <x:v>Briefcase Coach</x:v>
      </x:c>
      <x:c r="C27" s="32" t="n">
        <x:v>8</x:v>
      </x:c>
      <x:c r="D27" s="32" t="n">
        <x:v>7.5</x:v>
      </x:c>
      <x:c r="E27" s="32" t="n">
        <x:v>7.5</x:v>
      </x:c>
      <x:c r="F27" s="32" t="n">
        <x:v>9</x:v>
      </x:c>
      <x:c r="G27" s="32" t="n">
        <x:v>8</x:v>
      </x:c>
      <x:c r="H27" s="32" t="n">
        <x:v>8</x:v>
      </x:c>
      <x:c r="I27" s="32" t="n">
        <x:v>8</x:v>
      </x:c>
      <x:c r="J27" s="32" t="n">
        <x:v>7.5</x:v>
      </x:c>
      <x:c r="K27" s="32" t="n">
        <x:v>8</x:v>
      </x:c>
      <x:c r="L27" s="34" t="n">
        <x:f>SUMPRODUCT(C27:K27,Rubric!$C$6:$K$6)/Rubric!$B$8</x:f>
        <x:v>79.25</x:v>
      </x:c>
      <x:c r="M27" s="36" t="n">
        <x:f>ROUND(L27,0)</x:f>
        <x:v>79</x:v>
      </x:c>
      <x:c r="N27" s="36" t="n">
        <x:v>2</x:v>
      </x:c>
      <x:c r="O27" s="36" t="n">
        <x:v>3</x:v>
      </x:c>
      <x:c r="P27" s="36" t="n">
        <x:f>1+COUNTIF($L$6:$L$30,"&gt;"&amp;L27)+COUNTIFS($L$6:$L$30,L27,$D$6:$D$30,"&gt;"&amp;D27)+COUNTIFS($L$6:$L$30,L27,$D$6:$D$30,D27,$C$6:$C$30,"&gt;"&amp;C27)+COUNTIFS($L$6:$L$30,L27,$D$6:$D$30,D27,$C$6:$C$30,C27,$E$6:$E$30,"&gt;"&amp;E27)+COUNTIFS($L$6:$L$30,L27,$D$6:$D$30,D27,$C$6:$C$30,C27,$E$6:$E$30,E27,$N$6:$N$30,"&gt;"&amp;N27)+COUNTIFS($L$6:$L$30,L27,$D$6:$D$30,D27,$C$6:$C$30,C27,$E$6:$E$30,E27,$N$6:$N$30,N27,$O$6:$O$30,"&lt;"&amp;O27)</x:f>
        <x:v>14</x:v>
      </x:c>
      <x:c r="Q27" s="36" t="n">
        <x:f>COUNTIF($L$6:$L$30,"&lt;"&amp;L27)</x:f>
        <x:v>10</x:v>
      </x:c>
      <x:c r="R27" s="36" t="n">
        <x:f>COUNTIF($L$6:$L$30,"&gt;"&amp;L27)</x:f>
        <x:v>13</x:v>
      </x:c>
      <x:c r="S27" s="36" t="n">
        <x:f>COUNTIF($L$6:$L$30,L27)-1</x:f>
        <x:v>1</x:v>
      </x:c>
      <x:c r="T27" s="15" t="str">
        <x:v>Medium</x:v>
      </x:c>
    </x:row>
    <x:row r="28" ht="48" customHeight="1">
      <x:c r="A28" s="15" t="str">
        <x:v>C23</x:v>
      </x:c>
      <x:c r="B28" s="15" t="str">
        <x:v>Klaxos</x:v>
      </x:c>
      <x:c r="C28" s="32" t="n">
        <x:v>8</x:v>
      </x:c>
      <x:c r="D28" s="32" t="n">
        <x:v>7</x:v>
      </x:c>
      <x:c r="E28" s="32" t="n">
        <x:v>7.5</x:v>
      </x:c>
      <x:c r="F28" s="32" t="n">
        <x:v>9</x:v>
      </x:c>
      <x:c r="G28" s="32" t="n">
        <x:v>7.5</x:v>
      </x:c>
      <x:c r="H28" s="32" t="n">
        <x:v>7.5</x:v>
      </x:c>
      <x:c r="I28" s="32" t="n">
        <x:v>6.5</x:v>
      </x:c>
      <x:c r="J28" s="32" t="n">
        <x:v>8</x:v>
      </x:c>
      <x:c r="K28" s="32" t="n">
        <x:v>7</x:v>
      </x:c>
      <x:c r="L28" s="34" t="n">
        <x:f>SUMPRODUCT(C28:K28,Rubric!$C$6:$K$6)/Rubric!$B$8</x:f>
        <x:v>75.75</x:v>
      </x:c>
      <x:c r="M28" s="36" t="n">
        <x:f>ROUND(L28,0)</x:f>
        <x:v>76</x:v>
      </x:c>
      <x:c r="N28" s="36" t="n">
        <x:v>1</x:v>
      </x:c>
      <x:c r="O28" s="36" t="n">
        <x:v>13</x:v>
      </x:c>
      <x:c r="P28" s="36" t="n">
        <x:f>1+COUNTIF($L$6:$L$30,"&gt;"&amp;L28)+COUNTIFS($L$6:$L$30,L28,$D$6:$D$30,"&gt;"&amp;D28)+COUNTIFS($L$6:$L$30,L28,$D$6:$D$30,D28,$C$6:$C$30,"&gt;"&amp;C28)+COUNTIFS($L$6:$L$30,L28,$D$6:$D$30,D28,$C$6:$C$30,C28,$E$6:$E$30,"&gt;"&amp;E28)+COUNTIFS($L$6:$L$30,L28,$D$6:$D$30,D28,$C$6:$C$30,C28,$E$6:$E$30,E28,$N$6:$N$30,"&gt;"&amp;N28)+COUNTIFS($L$6:$L$30,L28,$D$6:$D$30,D28,$C$6:$C$30,C28,$E$6:$E$30,E28,$N$6:$N$30,N28,$O$6:$O$30,"&lt;"&amp;O28)</x:f>
        <x:v>20</x:v>
      </x:c>
      <x:c r="Q28" s="36" t="n">
        <x:f>COUNTIF($L$6:$L$30,"&lt;"&amp;L28)</x:f>
        <x:v>5</x:v>
      </x:c>
      <x:c r="R28" s="36" t="n">
        <x:f>COUNTIF($L$6:$L$30,"&gt;"&amp;L28)</x:f>
        <x:v>19</x:v>
      </x:c>
      <x:c r="S28" s="36" t="n">
        <x:f>COUNTIF($L$6:$L$30,L28)-1</x:f>
        <x:v>0</x:v>
      </x:c>
      <x:c r="T28" s="15" t="str">
        <x:v>Low</x:v>
      </x:c>
    </x:row>
    <x:row r="29" ht="48" customHeight="1">
      <x:c r="A29" s="15" t="str">
        <x:v>C24</x:v>
      </x:c>
      <x:c r="B29" s="15" t="str">
        <x:v>Scientech Resumes / Scientech Career Systems</x:v>
      </x:c>
      <x:c r="C29" s="32" t="n">
        <x:v>7.5</x:v>
      </x:c>
      <x:c r="D29" s="32" t="n">
        <x:v>7.5</x:v>
      </x:c>
      <x:c r="E29" s="32" t="n">
        <x:v>7</x:v>
      </x:c>
      <x:c r="F29" s="32" t="n">
        <x:v>9</x:v>
      </x:c>
      <x:c r="G29" s="32" t="n">
        <x:v>8</x:v>
      </x:c>
      <x:c r="H29" s="32" t="n">
        <x:v>8</x:v>
      </x:c>
      <x:c r="I29" s="32" t="n">
        <x:v>8</x:v>
      </x:c>
      <x:c r="J29" s="32" t="n">
        <x:v>7.5</x:v>
      </x:c>
      <x:c r="K29" s="32" t="n">
        <x:v>7.5</x:v>
      </x:c>
      <x:c r="L29" s="34" t="n">
        <x:f>SUMPRODUCT(C29:K29,Rubric!$C$6:$K$6)/Rubric!$B$8</x:f>
        <x:v>77.25</x:v>
      </x:c>
      <x:c r="M29" s="36" t="n">
        <x:f>ROUND(L29,0)</x:f>
        <x:v>77</x:v>
      </x:c>
      <x:c r="N29" s="36" t="n">
        <x:v>1</x:v>
      </x:c>
      <x:c r="O29" s="36" t="n">
        <x:v>20</x:v>
      </x:c>
      <x:c r="P29" s="36" t="n">
        <x:f>1+COUNTIF($L$6:$L$30,"&gt;"&amp;L29)+COUNTIFS($L$6:$L$30,L29,$D$6:$D$30,"&gt;"&amp;D29)+COUNTIFS($L$6:$L$30,L29,$D$6:$D$30,D29,$C$6:$C$30,"&gt;"&amp;C29)+COUNTIFS($L$6:$L$30,L29,$D$6:$D$30,D29,$C$6:$C$30,C29,$E$6:$E$30,"&gt;"&amp;E29)+COUNTIFS($L$6:$L$30,L29,$D$6:$D$30,D29,$C$6:$C$30,C29,$E$6:$E$30,E29,$N$6:$N$30,"&gt;"&amp;N29)+COUNTIFS($L$6:$L$30,L29,$D$6:$D$30,D29,$C$6:$C$30,C29,$E$6:$E$30,E29,$N$6:$N$30,N29,$O$6:$O$30,"&lt;"&amp;O29)</x:f>
        <x:v>17</x:v>
      </x:c>
      <x:c r="Q29" s="36" t="n">
        <x:f>COUNTIF($L$6:$L$30,"&lt;"&amp;L29)</x:f>
        <x:v>8</x:v>
      </x:c>
      <x:c r="R29" s="36" t="n">
        <x:f>COUNTIF($L$6:$L$30,"&gt;"&amp;L29)</x:f>
        <x:v>16</x:v>
      </x:c>
      <x:c r="S29" s="36" t="n">
        <x:f>COUNTIF($L$6:$L$30,L29)-1</x:f>
        <x:v>0</x:v>
      </x:c>
      <x:c r="T29" s="15" t="str">
        <x:v>Low</x:v>
      </x:c>
    </x:row>
    <x:row r="30" ht="48" customHeight="1">
      <x:c r="A30" s="15" t="str">
        <x:v>C25</x:v>
      </x:c>
      <x:c r="B30" s="15" t="str">
        <x:v>Employment BOOST</x:v>
      </x:c>
      <x:c r="C30" s="32" t="n">
        <x:v>8.5</x:v>
      </x:c>
      <x:c r="D30" s="32" t="n">
        <x:v>7.5</x:v>
      </x:c>
      <x:c r="E30" s="32" t="n">
        <x:v>8</x:v>
      </x:c>
      <x:c r="F30" s="32" t="n">
        <x:v>8.5</x:v>
      </x:c>
      <x:c r="G30" s="32" t="n">
        <x:v>8</x:v>
      </x:c>
      <x:c r="H30" s="32" t="n">
        <x:v>8</x:v>
      </x:c>
      <x:c r="I30" s="32" t="n">
        <x:v>8</x:v>
      </x:c>
      <x:c r="J30" s="32" t="n">
        <x:v>8</x:v>
      </x:c>
      <x:c r="K30" s="32" t="n">
        <x:v>7.5</x:v>
      </x:c>
      <x:c r="L30" s="34" t="n">
        <x:f>SUMPRODUCT(C30:K30,Rubric!$C$6:$K$6)/Rubric!$B$8</x:f>
        <x:v>80.5</x:v>
      </x:c>
      <x:c r="M30" s="36" t="n">
        <x:f>ROUND(L30,0)</x:f>
        <x:v>81</x:v>
      </x:c>
      <x:c r="N30" s="36" t="n">
        <x:v>2</x:v>
      </x:c>
      <x:c r="O30" s="36" t="n">
        <x:v>8</x:v>
      </x:c>
      <x:c r="P30" s="36" t="n">
        <x:f>1+COUNTIF($L$6:$L$30,"&gt;"&amp;L30)+COUNTIFS($L$6:$L$30,L30,$D$6:$D$30,"&gt;"&amp;D30)+COUNTIFS($L$6:$L$30,L30,$D$6:$D$30,D30,$C$6:$C$30,"&gt;"&amp;C30)+COUNTIFS($L$6:$L$30,L30,$D$6:$D$30,D30,$C$6:$C$30,C30,$E$6:$E$30,"&gt;"&amp;E30)+COUNTIFS($L$6:$L$30,L30,$D$6:$D$30,D30,$C$6:$C$30,C30,$E$6:$E$30,E30,$N$6:$N$30,"&gt;"&amp;N30)+COUNTIFS($L$6:$L$30,L30,$D$6:$D$30,D30,$C$6:$C$30,C30,$E$6:$E$30,E30,$N$6:$N$30,N30,$O$6:$O$30,"&lt;"&amp;O30)</x:f>
        <x:v>9</x:v>
      </x:c>
      <x:c r="Q30" s="36" t="n">
        <x:f>COUNTIF($L$6:$L$30,"&lt;"&amp;L30)</x:f>
        <x:v>13</x:v>
      </x:c>
      <x:c r="R30" s="36" t="n">
        <x:f>COUNTIF($L$6:$L$30,"&gt;"&amp;L30)</x:f>
        <x:v>8</x:v>
      </x:c>
      <x:c r="S30" s="36" t="n">
        <x:f>COUNTIF($L$6:$L$30,L30)-1</x:f>
        <x:v>3</x:v>
      </x:c>
      <x:c r="T30" s="15" t="str">
        <x:v>Medium</x:v>
      </x:c>
    </x:row>
  </x:sheetData>
  <x:mergeCells>
    <x:mergeCell ref="A1:T1"/>
    <x:mergeCell ref="A2:T3"/>
  </x:mergeCells>
  <x:dataValidations count="1">
    <x:dataValidation type="list" sqref="C6:K30">
      <x:formula1>"0.0,0.5,1.0,1.5,2.0,2.5,3.0,3.5,4.0,4.5,5.0,5.5,6.0,6.5,7.0,7.5,8.0,8.5,9.0,9.5,10.0"</x:formula1>
    </x:dataValidation>
  </x:dataValidations>
  <x:pageMargins left="0.7" right="0.7" top="0.75" bottom="0.75" header="0.3" footer="0.3"/>
  <x:tableParts count="1">
    <x:tablePart xmlns:r="http://schemas.openxmlformats.org/officeDocument/2006/relationships" r:id="Re6207819101a458e"/>
  </x:tableParts>
</x:worksheet>
</file>

<file path=xl/worksheets/sheet3.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8" hidden="0" customWidth="1"/>
    <x:col min="2" max="2" width="28" hidden="0" customWidth="1"/>
    <x:col min="3" max="3" width="14" hidden="0" customWidth="1"/>
    <x:col min="4" max="4" width="14" hidden="0" customWidth="1"/>
    <x:col min="5" max="5" width="14" hidden="0" customWidth="1"/>
    <x:col min="6" max="6" width="14" hidden="0" customWidth="1"/>
    <x:col min="7" max="7" width="14" hidden="0" customWidth="1"/>
    <x:col min="8" max="8" width="14" hidden="0" customWidth="1"/>
    <x:col min="9" max="9" width="14" hidden="0" customWidth="1"/>
    <x:col min="10" max="10" width="14" hidden="0" customWidth="1"/>
    <x:col min="11" max="11" width="14" hidden="0" customWidth="1"/>
  </x:cols>
  <x:sheetData>
    <x:row r="1" ht="32" customHeight="1">
      <x:c r="A1" s="3" t="str">
        <x:v>THE 100-POINT EDITORIAL RUBRIC</x:v>
      </x:c>
      <x:c r="B1" s="3"/>
      <x:c r="C1" s="3"/>
      <x:c r="D1" s="3"/>
      <x:c r="E1" s="3"/>
      <x:c r="F1" s="3"/>
      <x:c r="G1" s="3"/>
      <x:c r="H1" s="3"/>
      <x:c r="I1" s="3"/>
      <x:c r="J1" s="3"/>
      <x:c r="K1" s="3"/>
    </x:row>
    <x:row r="2" ht="24" customHeight="1">
      <x:c r="A2" s="8" t="str">
        <x:v>Original category weights retained. Ratings are editorial judgments; evidence coverage stays separate from performance. Ordinary sales and promotions are accepted as published.</x:v>
      </x:c>
      <x:c r="B2" s="8"/>
      <x:c r="C2" s="8"/>
      <x:c r="D2" s="8"/>
      <x:c r="E2" s="8"/>
      <x:c r="F2" s="8"/>
      <x:c r="G2" s="8"/>
      <x:c r="H2" s="8"/>
      <x:c r="I2" s="8"/>
      <x:c r="J2" s="8"/>
      <x:c r="K2" s="8"/>
    </x:row>
    <x:row r="3" ht="24" customHeight="1">
      <x:c r="A3" s="8"/>
      <x:c r="B3" s="8"/>
      <x:c r="C3" s="8"/>
      <x:c r="D3" s="8"/>
      <x:c r="E3" s="8"/>
      <x:c r="F3" s="8"/>
      <x:c r="G3" s="8"/>
      <x:c r="H3" s="8"/>
      <x:c r="I3" s="8"/>
      <x:c r="J3" s="8"/>
      <x:c r="K3" s="8"/>
    </x:row>
    <x:row r="5" ht="34" customHeight="1">
      <x:c r="A5" s="12" t="str"/>
      <x:c r="B5" s="12" t="str">
        <x:v>Weight set</x:v>
      </x:c>
      <x:c r="C5" s="12" t="str">
        <x:v>Feedback</x:v>
      </x:c>
      <x:c r="D5" s="12" t="str">
        <x:v>Outcomes</x:v>
      </x:c>
      <x:c r="E5" s="12" t="str">
        <x:v>Value</x:v>
      </x:c>
      <x:c r="F5" s="12" t="str">
        <x:v>Personalization</x:v>
      </x:c>
      <x:c r="G5" s="12" t="str">
        <x:v>Credentials</x:v>
      </x:c>
      <x:c r="H5" s="12" t="str">
        <x:v>Quality</x:v>
      </x:c>
      <x:c r="I5" s="12" t="str">
        <x:v>Support</x:v>
      </x:c>
      <x:c r="J5" s="12" t="str">
        <x:v>History</x:v>
      </x:c>
      <x:c r="K5" s="12" t="str">
        <x:v>Reputation</x:v>
      </x:c>
    </x:row>
    <x:row r="6" ht="48" customHeight="1">
      <x:c r="A6" s="15"/>
      <x:c r="B6" s="15" t="str">
        <x:v>Baseline weights</x:v>
      </x:c>
      <x:c r="C6" s="19" t="n">
        <x:v>20</x:v>
      </x:c>
      <x:c r="D6" s="19" t="n">
        <x:v>15</x:v>
      </x:c>
      <x:c r="E6" s="19" t="n">
        <x:v>15</x:v>
      </x:c>
      <x:c r="F6" s="19" t="n">
        <x:v>10</x:v>
      </x:c>
      <x:c r="G6" s="19" t="n">
        <x:v>10</x:v>
      </x:c>
      <x:c r="H6" s="19" t="n">
        <x:v>10</x:v>
      </x:c>
      <x:c r="I6" s="19" t="n">
        <x:v>10</x:v>
      </x:c>
      <x:c r="J6" s="19" t="n">
        <x:v>5</x:v>
      </x:c>
      <x:c r="K6" s="19" t="n">
        <x:v>5</x:v>
      </x:c>
    </x:row>
    <x:row r="7" ht="48" customHeight="1">
      <x:c r="A7" s="15"/>
      <x:c r="B7" s="15"/>
      <x:c r="C7" s="15"/>
      <x:c r="D7" s="15"/>
      <x:c r="E7" s="15"/>
      <x:c r="F7" s="15"/>
      <x:c r="G7" s="15"/>
      <x:c r="H7" s="15"/>
      <x:c r="I7" s="15"/>
      <x:c r="J7" s="15"/>
      <x:c r="K7" s="15"/>
    </x:row>
    <x:row r="8" ht="48" customHeight="1">
      <x:c r="A8" s="15" t="str">
        <x:v>Scale</x:v>
      </x:c>
      <x:c r="B8" s="15" t="n">
        <x:v>10</x:v>
      </x:c>
      <x:c r="C8" s="15" t="str">
        <x:v>Each rating is out of 10. Total = sum(rating × weight ÷ 10). Weights must total 100.</x:v>
      </x:c>
      <x:c r="D8" s="15"/>
      <x:c r="E8" s="15"/>
      <x:c r="F8" s="15"/>
      <x:c r="G8" s="15"/>
      <x:c r="H8" s="15"/>
      <x:c r="I8" s="15"/>
      <x:c r="J8" s="15"/>
      <x:c r="K8" s="15"/>
    </x:row>
    <x:row r="9" ht="48" customHeight="1">
      <x:c r="A9" s="15"/>
      <x:c r="B9" s="15"/>
      <x:c r="C9" s="15"/>
      <x:c r="D9" s="15"/>
      <x:c r="E9" s="15"/>
      <x:c r="F9" s="15"/>
      <x:c r="G9" s="15"/>
      <x:c r="H9" s="15"/>
      <x:c r="I9" s="15"/>
      <x:c r="J9" s="15"/>
      <x:c r="K9" s="15"/>
    </x:row>
    <x:row r="10" ht="48" customHeight="1">
      <x:c r="A10" s="15"/>
      <x:c r="B10" s="15"/>
      <x:c r="C10" s="15"/>
      <x:c r="D10" s="15"/>
      <x:c r="E10" s="15"/>
      <x:c r="F10" s="15"/>
      <x:c r="G10" s="15"/>
      <x:c r="H10" s="15"/>
      <x:c r="I10" s="15"/>
      <x:c r="J10" s="15"/>
      <x:c r="K10" s="15"/>
    </x:row>
    <x:row r="11" ht="48" customHeight="1">
      <x:c r="A11" s="15"/>
      <x:c r="B11" s="15"/>
      <x:c r="C11" s="15"/>
      <x:c r="D11" s="15"/>
      <x:c r="E11" s="15"/>
      <x:c r="F11" s="15"/>
      <x:c r="G11" s="15"/>
      <x:c r="H11" s="15"/>
      <x:c r="I11" s="15"/>
      <x:c r="J11" s="15"/>
      <x:c r="K11" s="15"/>
    </x:row>
    <x:row r="12" ht="68" customHeight="1">
      <x:c r="A12" s="15" t="str">
        <x:v>Credible customer feedback</x:v>
      </x:c>
      <x:c r="B12" s="15" t="n">
        <x:v>20</x:v>
      </x:c>
      <x:c r="C12" s="15" t="str">
        <x:v>Specificity, consistency, relevance and recency of customer accounts; independent platforms plus attributable company-maintained records. Review count alone does not set the score.</x:v>
      </x:c>
      <x:c r="D12" s="15"/>
      <x:c r="E12" s="15"/>
      <x:c r="F12" s="15"/>
      <x:c r="G12" s="15"/>
      <x:c r="H12" s="15"/>
      <x:c r="I12" s="15"/>
      <x:c r="J12" s="15"/>
      <x:c r="K12" s="15"/>
    </x:row>
    <x:row r="13" ht="68" customHeight="1">
      <x:c r="A13" s="15" t="str">
        <x:v>Documented results and track record</x:v>
      </x:c>
      <x:c r="B13" s="15" t="n">
        <x:v>15</x:v>
      </x:c>
      <x:c r="C13" s="15" t="str">
        <x:v>Specific interviews, offers, transitions, repeat engagements and referrals. Attributed outcomes earn credit without a causal success-rate claim; aggregate marketing percentages do not.</x:v>
      </x:c>
      <x:c r="D13" s="15"/>
      <x:c r="E13" s="15"/>
      <x:c r="F13" s="15"/>
      <x:c r="G13" s="15"/>
      <x:c r="H13" s="15"/>
      <x:c r="I13" s="15"/>
      <x:c r="J13" s="15"/>
      <x:c r="K13" s="15"/>
    </x:row>
    <x:row r="14" ht="68" customHeight="1">
      <x:c r="A14" s="15" t="str">
        <x:v>Pricing, value and transparency</x:v>
      </x:c>
      <x:c r="B14" s="15" t="n">
        <x:v>15</x:v>
      </x:c>
      <x:c r="C14" s="15" t="str">
        <x:v>Published offer relative to the work and service depth, clear scope and commercial commitments. Normal discounts are accepted. Quote-based work is evaluated on scope and terms, not an invented price.</x:v>
      </x:c>
      <x:c r="D14" s="15"/>
      <x:c r="E14" s="15"/>
      <x:c r="F14" s="15"/>
      <x:c r="G14" s="15"/>
      <x:c r="H14" s="15"/>
      <x:c r="I14" s="15"/>
      <x:c r="J14" s="15"/>
      <x:c r="K14" s="15"/>
    </x:row>
    <x:row r="15" ht="68" customHeight="1">
      <x:c r="A15" s="15" t="str">
        <x:v>Service depth and personalization</x:v>
      </x:c>
      <x:c r="B15" s="15" t="n">
        <x:v>10</x:v>
      </x:c>
      <x:c r="C15" s="15" t="str">
        <x:v>Discovery, targeting, human access, authorship accountability and package completeness for the intended customer; not the raw number of add-ons.</x:v>
      </x:c>
      <x:c r="D15" s="15"/>
      <x:c r="E15" s="15"/>
      <x:c r="F15" s="15"/>
      <x:c r="G15" s="15"/>
      <x:c r="H15" s="15"/>
      <x:c r="I15" s="15"/>
      <x:c r="J15" s="15"/>
      <x:c r="K15" s="15"/>
    </x:row>
    <x:row r="16" ht="68" customHeight="1">
      <x:c r="A16" s="15" t="str">
        <x:v>Writer qualifications and credentials</x:v>
      </x:c>
      <x:c r="B16" s="15" t="n">
        <x:v>10</x:v>
      </x:c>
      <x:c r="C16" s="15" t="str">
        <x:v>Relevant preparation, experience and verifiable credentials of the person doing the work; founder credentials are not transferred to an entire roster.</x:v>
      </x:c>
      <x:c r="D16" s="15"/>
      <x:c r="E16" s="15"/>
      <x:c r="F16" s="15"/>
      <x:c r="G16" s="15"/>
      <x:c r="H16" s="15"/>
      <x:c r="I16" s="15"/>
      <x:c r="J16" s="15"/>
      <x:c r="K16" s="15"/>
    </x:row>
    <x:row r="17" ht="68" customHeight="1">
      <x:c r="A17" s="15" t="str">
        <x:v>Quality standards and commitment</x:v>
      </x:c>
      <x:c r="B17" s="15" t="n">
        <x:v>10</x:v>
      </x:c>
      <x:c r="C17" s="15" t="str">
        <x:v>Achievement development, targeting, narrative, clarity, readability and proofreading in inspected examples; supported by editorial process and concrete customer observations. Inspection coverage is separately identified.</x:v>
      </x:c>
      <x:c r="D17" s="15"/>
      <x:c r="E17" s="15"/>
      <x:c r="F17" s="15"/>
      <x:c r="G17" s="15"/>
      <x:c r="H17" s="15"/>
      <x:c r="I17" s="15"/>
      <x:c r="J17" s="15"/>
      <x:c r="K17" s="15"/>
    </x:row>
    <x:row r="18" ht="68" customHeight="1">
      <x:c r="A18" s="15" t="str">
        <x:v>Serious complaints and resolution</x:v>
      </x:c>
      <x:c r="B18" s="15" t="n">
        <x:v>10</x:v>
      </x:c>
      <x:c r="C18" s="15" t="str">
        <x:v>Severity, repetition and service relevance of disputes; responsiveness, access, correction rights and remedies. No observed complaint is neither zero performance nor proof of perfection.</x:v>
      </x:c>
      <x:c r="D18" s="15"/>
      <x:c r="E18" s="15"/>
      <x:c r="F18" s="15"/>
      <x:c r="G18" s="15"/>
      <x:c r="H18" s="15"/>
      <x:c r="I18" s="15"/>
      <x:c r="J18" s="15"/>
      <x:c r="K18" s="15"/>
    </x:row>
    <x:row r="19" ht="68" customHeight="1">
      <x:c r="A19" s="15" t="str">
        <x:v>History and stability</x:v>
      </x:c>
      <x:c r="B19" s="15" t="n">
        <x:v>5</x:v>
      </x:c>
      <x:c r="C19" s="15" t="str">
        <x:v>Operating continuity, sustained practice and experienced personnel. Longer history is useful but cannot overcome poor present-day delivery.</x:v>
      </x:c>
      <x:c r="D19" s="15"/>
      <x:c r="E19" s="15"/>
      <x:c r="F19" s="15"/>
      <x:c r="G19" s="15"/>
      <x:c r="H19" s="15"/>
      <x:c r="I19" s="15"/>
      <x:c r="J19" s="15"/>
      <x:c r="K19" s="15"/>
    </x:row>
    <x:row r="20" ht="68" customHeight="1">
      <x:c r="A20" s="15" t="str">
        <x:v>Independently supported professional reputation</x:v>
      </x:c>
      <x:c r="B20" s="15" t="n">
        <x:v>5</x:v>
      </x:c>
      <x:c r="C20" s="15" t="str">
        <x:v>External professional contribution and recognition, separately from credentials and customer stars. Paid rankings and a company calling itself best do not earn credit.</x:v>
      </x:c>
      <x:c r="D20" s="15"/>
      <x:c r="E20" s="15"/>
      <x:c r="F20" s="15"/>
      <x:c r="G20" s="15"/>
      <x:c r="H20" s="15"/>
      <x:c r="I20" s="15"/>
      <x:c r="J20" s="15"/>
      <x:c r="K20" s="15"/>
    </x:row>
    <x:row r="21" ht="48" customHeight="1">
      <x:c r="A21" s="15"/>
      <x:c r="B21" s="15"/>
      <x:c r="C21" s="15"/>
      <x:c r="D21" s="15"/>
      <x:c r="E21" s="15"/>
      <x:c r="F21" s="15"/>
      <x:c r="G21" s="15"/>
      <x:c r="H21" s="15"/>
      <x:c r="I21" s="15"/>
      <x:c r="J21" s="15"/>
      <x:c r="K21" s="15"/>
    </x:row>
    <x:row r="22" ht="48" customHeight="1">
      <x:c r="A22" s="15"/>
      <x:c r="B22" s="15"/>
      <x:c r="C22" s="15"/>
      <x:c r="D22" s="15"/>
      <x:c r="E22" s="15"/>
      <x:c r="F22" s="15"/>
      <x:c r="G22" s="15"/>
      <x:c r="H22" s="15"/>
      <x:c r="I22" s="15"/>
      <x:c r="J22" s="15"/>
      <x:c r="K22" s="15"/>
    </x:row>
    <x:row r="23" ht="33" customHeight="1">
      <x:c r="A23" s="22" t="str">
        <x:v>No numerical zero or neutral default is assigned simply because a field is unknown. Ratings judge the available, identified evidence in each category. Incomplete direct output or price evidence is marked explicitly and lowers confidence in that judgment, not through a hidden arithmetic deduction. A quote-based value score is scope/terms-led and does not claim a known price.</x:v>
      </x:c>
      <x:c r="B23" s="22"/>
      <x:c r="C23" s="22"/>
      <x:c r="D23" s="22"/>
      <x:c r="E23" s="22"/>
      <x:c r="F23" s="22"/>
      <x:c r="G23" s="22"/>
      <x:c r="H23" s="22"/>
      <x:c r="I23" s="22"/>
      <x:c r="J23" s="22"/>
      <x:c r="K23" s="22"/>
    </x:row>
    <x:row r="24" ht="33" customHeight="1">
      <x:c r="A24" s="22"/>
      <x:c r="B24" s="22"/>
      <x:c r="C24" s="22"/>
      <x:c r="D24" s="22"/>
      <x:c r="E24" s="22"/>
      <x:c r="F24" s="22"/>
      <x:c r="G24" s="22"/>
      <x:c r="H24" s="22"/>
      <x:c r="I24" s="22"/>
      <x:c r="J24" s="22"/>
      <x:c r="K24" s="22"/>
    </x:row>
    <x:row r="25" ht="48" customHeight="1">
      <x:c r="A25" s="15"/>
      <x:c r="B25" s="15"/>
      <x:c r="C25" s="15"/>
      <x:c r="D25" s="15"/>
      <x:c r="E25" s="15"/>
      <x:c r="F25" s="15"/>
      <x:c r="G25" s="15"/>
      <x:c r="H25" s="15"/>
      <x:c r="I25" s="15"/>
      <x:c r="J25" s="15"/>
      <x:c r="K25" s="15"/>
    </x:row>
    <x:row r="26" ht="48" customHeight="1">
      <x:c r="A26" s="15"/>
      <x:c r="B26" s="25" t="str">
        <x:v>Sensitivity scenario</x:v>
      </x:c>
      <x:c r="C26" s="25" t="str">
        <x:v>Feedback</x:v>
      </x:c>
      <x:c r="D26" s="25" t="str">
        <x:v>Outcomes</x:v>
      </x:c>
      <x:c r="E26" s="25" t="str">
        <x:v>Value</x:v>
      </x:c>
      <x:c r="F26" s="25" t="str">
        <x:v>Personalization</x:v>
      </x:c>
      <x:c r="G26" s="25" t="str">
        <x:v>Credentials</x:v>
      </x:c>
      <x:c r="H26" s="25" t="str">
        <x:v>Quality</x:v>
      </x:c>
      <x:c r="I26" s="25" t="str">
        <x:v>Support</x:v>
      </x:c>
      <x:c r="J26" s="25" t="str">
        <x:v>History</x:v>
      </x:c>
      <x:c r="K26" s="25" t="str">
        <x:v>Reputation</x:v>
      </x:c>
    </x:row>
    <x:row r="27" ht="48" customHeight="1">
      <x:c r="A27" s="15"/>
      <x:c r="B27" s="15" t="str">
        <x:v>Baseline</x:v>
      </x:c>
      <x:c r="C27" s="28" t="n">
        <x:v>20</x:v>
      </x:c>
      <x:c r="D27" s="28" t="n">
        <x:v>15</x:v>
      </x:c>
      <x:c r="E27" s="28" t="n">
        <x:v>15</x:v>
      </x:c>
      <x:c r="F27" s="28" t="n">
        <x:v>10</x:v>
      </x:c>
      <x:c r="G27" s="28" t="n">
        <x:v>10</x:v>
      </x:c>
      <x:c r="H27" s="28" t="n">
        <x:v>10</x:v>
      </x:c>
      <x:c r="I27" s="28" t="n">
        <x:v>10</x:v>
      </x:c>
      <x:c r="J27" s="28" t="n">
        <x:v>5</x:v>
      </x:c>
      <x:c r="K27" s="28" t="n">
        <x:v>5</x:v>
      </x:c>
    </x:row>
    <x:row r="28" ht="48" customHeight="1">
      <x:c r="A28" s="15"/>
      <x:c r="B28" s="15" t="str">
        <x:v>Craft and credentials</x:v>
      </x:c>
      <x:c r="C28" s="28" t="n">
        <x:v>15</x:v>
      </x:c>
      <x:c r="D28" s="28" t="n">
        <x:v>15</x:v>
      </x:c>
      <x:c r="E28" s="28" t="n">
        <x:v>10</x:v>
      </x:c>
      <x:c r="F28" s="28" t="n">
        <x:v>10</x:v>
      </x:c>
      <x:c r="G28" s="28" t="n">
        <x:v>15</x:v>
      </x:c>
      <x:c r="H28" s="28" t="n">
        <x:v>20</x:v>
      </x:c>
      <x:c r="I28" s="28" t="n">
        <x:v>10</x:v>
      </x:c>
      <x:c r="J28" s="28" t="n">
        <x:v>2.5</x:v>
      </x:c>
      <x:c r="K28" s="28" t="n">
        <x:v>2.5</x:v>
      </x:c>
    </x:row>
    <x:row r="29" ht="48" customHeight="1">
      <x:c r="A29" s="15"/>
      <x:c r="B29" s="15" t="str">
        <x:v>Customer experience</x:v>
      </x:c>
      <x:c r="C29" s="28" t="n">
        <x:v>30</x:v>
      </x:c>
      <x:c r="D29" s="28" t="n">
        <x:v>20</x:v>
      </x:c>
      <x:c r="E29" s="28" t="n">
        <x:v>10</x:v>
      </x:c>
      <x:c r="F29" s="28" t="n">
        <x:v>10</x:v>
      </x:c>
      <x:c r="G29" s="28" t="n">
        <x:v>5</x:v>
      </x:c>
      <x:c r="H29" s="28" t="n">
        <x:v>10</x:v>
      </x:c>
      <x:c r="I29" s="28" t="n">
        <x:v>10</x:v>
      </x:c>
      <x:c r="J29" s="28" t="n">
        <x:v>2.5</x:v>
      </x:c>
      <x:c r="K29" s="28" t="n">
        <x:v>2.5</x:v>
      </x:c>
    </x:row>
    <x:row r="30" ht="48" customHeight="1">
      <x:c r="A30" s="15"/>
      <x:c r="B30" s="15" t="str">
        <x:v>Budget and access</x:v>
      </x:c>
      <x:c r="C30" s="28" t="n">
        <x:v>20</x:v>
      </x:c>
      <x:c r="D30" s="28" t="n">
        <x:v>10</x:v>
      </x:c>
      <x:c r="E30" s="28" t="n">
        <x:v>30</x:v>
      </x:c>
      <x:c r="F30" s="28" t="n">
        <x:v>10</x:v>
      </x:c>
      <x:c r="G30" s="28" t="n">
        <x:v>5</x:v>
      </x:c>
      <x:c r="H30" s="28" t="n">
        <x:v>10</x:v>
      </x:c>
      <x:c r="I30" s="28" t="n">
        <x:v>10</x:v>
      </x:c>
      <x:c r="J30" s="28" t="n">
        <x:v>2.5</x:v>
      </x:c>
      <x:c r="K30" s="28" t="n">
        <x:v>2.5</x:v>
      </x:c>
    </x:row>
    <x:row r="31" ht="48" customHeight="1">
      <x:c r="A31" s="15"/>
      <x:c r="B31" s="15" t="str">
        <x:v>Equal criteria</x:v>
      </x:c>
      <x:c r="C31" s="28" t="n">
        <x:v>11.11111111111111</x:v>
      </x:c>
      <x:c r="D31" s="28" t="n">
        <x:v>11.11111111111111</x:v>
      </x:c>
      <x:c r="E31" s="28" t="n">
        <x:v>11.11111111111111</x:v>
      </x:c>
      <x:c r="F31" s="28" t="n">
        <x:v>11.11111111111111</x:v>
      </x:c>
      <x:c r="G31" s="28" t="n">
        <x:v>11.11111111111111</x:v>
      </x:c>
      <x:c r="H31" s="28" t="n">
        <x:v>11.11111111111111</x:v>
      </x:c>
      <x:c r="I31" s="28" t="n">
        <x:v>11.11111111111111</x:v>
      </x:c>
      <x:c r="J31" s="28" t="n">
        <x:v>11.11111111111111</x:v>
      </x:c>
      <x:c r="K31" s="28" t="n">
        <x:v>11.11111111111111</x:v>
      </x:c>
    </x:row>
    <x:row r="32" ht="48" customHeight="1">
      <x:c r="A32" s="15"/>
      <x:c r="B32" s="15"/>
      <x:c r="C32" s="15"/>
      <x:c r="D32" s="15"/>
      <x:c r="E32" s="15"/>
      <x:c r="F32" s="15"/>
      <x:c r="G32" s="15"/>
      <x:c r="H32" s="15"/>
      <x:c r="I32" s="15"/>
      <x:c r="J32" s="15"/>
      <x:c r="K32" s="15"/>
    </x:row>
    <x:row r="33" ht="48" customHeight="1">
      <x:c r="A33" s="15"/>
      <x:c r="B33" s="15"/>
      <x:c r="C33" s="15"/>
      <x:c r="D33" s="15"/>
      <x:c r="E33" s="15"/>
      <x:c r="F33" s="15"/>
      <x:c r="G33" s="15"/>
      <x:c r="H33" s="15"/>
      <x:c r="I33" s="15"/>
      <x:c r="J33" s="15"/>
      <x:c r="K33" s="15"/>
    </x:row>
    <x:row r="34" ht="24" customHeight="1">
      <x:c r="A34" s="18" t="str">
        <x:v>Rating anchors: 9–10 exceptional; 7–8.5 strong with meaningful limits; 5–6.5 adequate or mixed; 3–4.5 material weaknesses; 0–2 severe shortcomings. A missing fact is not automatically zero. Scores based on process/customer evidence, rather than a directly inspected sample, are explicitly labeled.</x:v>
      </x:c>
      <x:c r="B34" s="18"/>
      <x:c r="C34" s="18"/>
      <x:c r="D34" s="18"/>
      <x:c r="E34" s="18"/>
      <x:c r="F34" s="18"/>
      <x:c r="G34" s="18"/>
      <x:c r="H34" s="18"/>
      <x:c r="I34" s="18"/>
      <x:c r="J34" s="18"/>
      <x:c r="K34" s="18"/>
    </x:row>
    <x:row r="35" ht="24" customHeight="1">
      <x:c r="A35" s="18"/>
      <x:c r="B35" s="18"/>
      <x:c r="C35" s="18"/>
      <x:c r="D35" s="18"/>
      <x:c r="E35" s="18"/>
      <x:c r="F35" s="18"/>
      <x:c r="G35" s="18"/>
      <x:c r="H35" s="18"/>
      <x:c r="I35" s="18"/>
      <x:c r="J35" s="18"/>
      <x:c r="K35" s="18"/>
    </x:row>
    <x:row r="36" ht="24" customHeight="1">
      <x:c r="A36" s="18"/>
      <x:c r="B36" s="18"/>
      <x:c r="C36" s="18"/>
      <x:c r="D36" s="18"/>
      <x:c r="E36" s="18"/>
      <x:c r="F36" s="18"/>
      <x:c r="G36" s="18"/>
      <x:c r="H36" s="18"/>
      <x:c r="I36" s="18"/>
      <x:c r="J36" s="18"/>
      <x:c r="K36" s="18"/>
    </x:row>
    <x:row r="37" ht="48" customHeight="1">
      <x:c r="A37" s="15"/>
      <x:c r="B37" s="15"/>
      <x:c r="C37" s="15"/>
      <x:c r="D37" s="15"/>
      <x:c r="E37" s="15"/>
      <x:c r="F37" s="15"/>
      <x:c r="G37" s="15"/>
      <x:c r="H37" s="15"/>
      <x:c r="I37" s="15"/>
      <x:c r="J37" s="15"/>
      <x:c r="K37" s="15"/>
    </x:row>
    <x:row r="38" ht="28" customHeight="1">
      <x:c r="A38" s="15" t="str">
        <x:v>All 300 unique pairs are compared on the unrounded baseline score. Equal totals are ties; final rank uses outcomes, feedback, value, then evidence confidence. A residual tie is displayed alphabetically, an administrative ordering with no quality advantage claimed. Nonzero gaps below two points are close editorial calls. No claim of statistical significance is made.</x:v>
      </x:c>
      <x:c r="B38" s="15"/>
      <x:c r="C38" s="15"/>
      <x:c r="D38" s="15"/>
      <x:c r="E38" s="15"/>
      <x:c r="F38" s="15"/>
      <x:c r="G38" s="15"/>
      <x:c r="H38" s="15"/>
      <x:c r="I38" s="15"/>
      <x:c r="J38" s="15"/>
      <x:c r="K38" s="15"/>
    </x:row>
    <x:row r="39" ht="28" customHeight="1">
      <x:c r="A39" s="15"/>
      <x:c r="B39" s="15"/>
      <x:c r="C39" s="15"/>
      <x:c r="D39" s="15"/>
      <x:c r="E39" s="15"/>
      <x:c r="F39" s="15"/>
      <x:c r="G39" s="15"/>
      <x:c r="H39" s="15"/>
      <x:c r="I39" s="15"/>
      <x:c r="J39" s="15"/>
      <x:c r="K39" s="15"/>
    </x:row>
    <x:row r="40" ht="28" customHeight="1">
      <x:c r="A40" s="15"/>
      <x:c r="B40" s="15"/>
      <x:c r="C40" s="15"/>
      <x:c r="D40" s="15"/>
      <x:c r="E40" s="15"/>
      <x:c r="F40" s="15"/>
      <x:c r="G40" s="15"/>
      <x:c r="H40" s="15"/>
      <x:c r="I40" s="15"/>
      <x:c r="J40" s="15"/>
      <x:c r="K40" s="15"/>
    </x:row>
    <x:row r="41" ht="48" customHeight="1">
      <x:c r="A41" s="15"/>
      <x:c r="B41" s="15"/>
      <x:c r="C41" s="15"/>
      <x:c r="D41" s="15"/>
      <x:c r="E41" s="15"/>
      <x:c r="F41" s="15"/>
      <x:c r="G41" s="15"/>
      <x:c r="H41" s="15"/>
      <x:c r="I41" s="15"/>
      <x:c r="J41" s="15"/>
      <x:c r="K41" s="15"/>
    </x:row>
    <x:row r="42" ht="48" customHeight="1">
      <x:c r="A42" s="15"/>
      <x:c r="B42" s="15"/>
      <x:c r="C42" s="15"/>
      <x:c r="D42" s="15"/>
      <x:c r="E42" s="15"/>
      <x:c r="F42" s="15"/>
      <x:c r="G42" s="15"/>
      <x:c r="H42" s="15"/>
      <x:c r="I42" s="15"/>
      <x:c r="J42" s="15"/>
      <x:c r="K42" s="15"/>
    </x:row>
    <x:row r="43" ht="48" customHeight="1">
      <x:c r="A43" s="15"/>
      <x:c r="B43" s="15"/>
      <x:c r="C43" s="15"/>
      <x:c r="D43" s="15"/>
      <x:c r="E43" s="15"/>
      <x:c r="F43" s="15"/>
      <x:c r="G43" s="15"/>
      <x:c r="H43" s="15"/>
      <x:c r="I43" s="15"/>
      <x:c r="J43" s="15"/>
      <x:c r="K43" s="15"/>
    </x:row>
    <x:row r="44" ht="48" customHeight="1">
      <x:c r="A44" s="15"/>
      <x:c r="B44" s="15"/>
      <x:c r="C44" s="15"/>
      <x:c r="D44" s="15"/>
      <x:c r="E44" s="15"/>
      <x:c r="F44" s="15"/>
      <x:c r="G44" s="15"/>
      <x:c r="H44" s="15"/>
      <x:c r="I44" s="15"/>
      <x:c r="J44" s="15"/>
      <x:c r="K44" s="15"/>
    </x:row>
    <x:row r="45" ht="48" customHeight="1">
      <x:c r="A45" s="15"/>
      <x:c r="B45" s="15"/>
      <x:c r="C45" s="15"/>
      <x:c r="D45" s="15"/>
      <x:c r="E45" s="15"/>
      <x:c r="F45" s="15"/>
      <x:c r="G45" s="15"/>
      <x:c r="H45" s="15"/>
      <x:c r="I45" s="15"/>
      <x:c r="J45" s="15"/>
      <x:c r="K45" s="15"/>
    </x:row>
  </x:sheetData>
  <x:mergeCells>
    <x:mergeCell ref="A1:K1"/>
    <x:mergeCell ref="A2:K3"/>
    <x:mergeCell ref="C8:K8"/>
    <x:mergeCell ref="C12:K12"/>
    <x:mergeCell ref="C13:K13"/>
    <x:mergeCell ref="C14:K14"/>
    <x:mergeCell ref="C15:K15"/>
    <x:mergeCell ref="C16:K16"/>
    <x:mergeCell ref="C17:K17"/>
    <x:mergeCell ref="C18:K18"/>
    <x:mergeCell ref="C19:K19"/>
    <x:mergeCell ref="C20:K20"/>
    <x:mergeCell ref="A23:K24"/>
    <x:mergeCell ref="A34:K36"/>
    <x:mergeCell ref="A38:K40"/>
  </x:mergeCells>
  <x:pageMargins left="0.7" right="0.7" top="0.75" bottom="0.75" header="0.3" footer="0.3"/>
</x:worksheet>
</file>

<file path=xl/worksheets/sheet4.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8" hidden="0" customWidth="1"/>
    <x:col min="2" max="2" width="35" hidden="0" customWidth="1"/>
    <x:col min="3" max="3" width="34" hidden="0" customWidth="1"/>
    <x:col min="4" max="4" width="36" hidden="0" customWidth="1"/>
    <x:col min="5" max="5" width="38" hidden="0" customWidth="1"/>
    <x:col min="6" max="6" width="38" hidden="0" customWidth="1"/>
    <x:col min="7" max="7" width="38" hidden="0" customWidth="1"/>
    <x:col min="8" max="8" width="40" hidden="0" customWidth="1"/>
    <x:col min="9" max="9" width="25" hidden="0" customWidth="1"/>
    <x:col min="10" max="10" width="40" hidden="0" customWidth="1"/>
  </x:cols>
  <x:sheetData>
    <x:row r="1" ht="32" customHeight="1">
      <x:c r="A1" s="3" t="str">
        <x:v>COMPANY PROFILES | 25 PROVIDERS</x:v>
      </x:c>
      <x:c r="B1" s="3"/>
      <x:c r="C1" s="3"/>
      <x:c r="D1" s="3"/>
      <x:c r="E1" s="3"/>
      <x:c r="F1" s="3"/>
      <x:c r="G1" s="3"/>
      <x:c r="H1" s="3"/>
      <x:c r="I1" s="3"/>
      <x:c r="J1" s="3"/>
    </x:row>
    <x:row r="2" ht="24" customHeight="1">
      <x:c r="A2" s="8" t="str">
        <x:v>Published offers are compared by scope. All paid delivery remains untested. Prices quoted in CAD remain CAD. Profiles are a fixed editorial snapshot dated October 26, 2026.</x:v>
      </x:c>
      <x:c r="B2" s="8"/>
      <x:c r="C2" s="8"/>
      <x:c r="D2" s="8"/>
      <x:c r="E2" s="8"/>
      <x:c r="F2" s="8"/>
      <x:c r="G2" s="8"/>
      <x:c r="H2" s="8"/>
      <x:c r="I2" s="8"/>
      <x:c r="J2" s="8"/>
    </x:row>
    <x:row r="3" ht="24" customHeight="1">
      <x:c r="A3" s="8"/>
      <x:c r="B3" s="8"/>
      <x:c r="C3" s="8"/>
      <x:c r="D3" s="8"/>
      <x:c r="E3" s="8"/>
      <x:c r="F3" s="8"/>
      <x:c r="G3" s="8"/>
      <x:c r="H3" s="8"/>
      <x:c r="I3" s="8"/>
      <x:c r="J3" s="8"/>
    </x:row>
    <x:row r="5" ht="34" customHeight="1">
      <x:c r="A5" s="12" t="str">
        <x:v>ID</x:v>
      </x:c>
      <x:c r="B5" s="12" t="str">
        <x:v>Company</x:v>
      </x:c>
      <x:c r="C5" s="12" t="str">
        <x:v>Best fit</x:v>
      </x:c>
      <x:c r="D5" s="12" t="str">
        <x:v>Published offer</x:v>
      </x:c>
      <x:c r="E5" s="12" t="str">
        <x:v>Primary strength</x:v>
      </x:c>
      <x:c r="F5" s="12" t="str">
        <x:v>Main limitation</x:v>
      </x:c>
      <x:c r="G5" s="12" t="str">
        <x:v>Inspection coverage</x:v>
      </x:c>
      <x:c r="H5" s="12" t="str">
        <x:v>Services</x:v>
      </x:c>
      <x:c r="I5" s="12" t="str">
        <x:v>Source IDs</x:v>
      </x:c>
      <x:c r="J5" s="12" t="str">
        <x:v>Source URLs</x:v>
      </x:c>
    </x:row>
    <x:row r="6" ht="112" customHeight="1">
      <x:c r="A6" s="15" t="str">
        <x:v>C01</x:v>
      </x:c>
      <x:c r="B6" s="15" t="str">
        <x:v>Let’s Eat, Grandma</x:v>
      </x:c>
      <x:c r="C6" s="15" t="str">
        <x:v>Midcareer and career change</x:v>
      </x:c>
      <x:c r="D6" s="15" t="str">
        <x:v>$439 Starter; $689 Premium; $889 Transform</x:v>
      </x:c>
      <x:c r="E6" s="15" t="str">
        <x:v>Consultative documents with editorial support</x:v>
      </x:c>
      <x:c r="F6" s="15" t="str">
        <x:v>Short standard revision window; assigned expertise varies</x:v>
      </x:c>
      <x:c r="G6" s="15" t="str">
        <x:v>Process and customer evidence; no full visual sample</x:v>
      </x:c>
      <x:c r="H6" s="15" t="str">
        <x:v>Resume, letters, LinkedIn; executive and coaching options</x:v>
      </x:c>
      <x:c r="I6" s="15" t="str">
        <x:v>S001 S002 S003 S004</x:v>
      </x:c>
      <x:c r="J6" s="15" t="str">
        <x:v>https://www.legresumes.com/
https://www.legresumes.com/terms/
https://www.trustpilot.com/review/www.letseatgrandma.com
https://www.trustindex.io/reviews/letseatgrandma.com</x:v>
      </x:c>
    </x:row>
    <x:row r="7" ht="112" customHeight="1">
      <x:c r="A7" s="15" t="str">
        <x:v>C02</x:v>
      </x:c>
      <x:c r="B7" s="15" t="str">
        <x:v>Find My Profession</x:v>
      </x:c>
      <x:c r="C7" s="15" t="str">
        <x:v>Professionals and managers</x:v>
      </x:c>
      <x:c r="D7" s="15" t="str">
        <x:v>$595 résumé; $895 résumé + cover letter + LinkedIn</x:v>
      </x:c>
      <x:c r="E7" s="15" t="str">
        <x:v>Substantive inspected work and structured collaboration</x:v>
      </x:c>
      <x:c r="F7" s="15" t="str">
        <x:v>Writing outcomes must be separated from reverse recruiting</x:v>
      </x:c>
      <x:c r="G7" s="15" t="str">
        <x:v>Selected complete two-page example inspected</x:v>
      </x:c>
      <x:c r="H7" s="15" t="str">
        <x:v>Resume, LinkedIn, letters, executive/federal options; recruiting separate</x:v>
      </x:c>
      <x:c r="I7" s="15" t="str">
        <x:v>S005 S007 S008 S009 S123</x:v>
      </x:c>
      <x:c r="J7" s="15" t="str">
        <x:v>https://www.findmyprofession.com/resume-writing/professional/
https://www.findmyprofession.com/wp-content/uploads/2024/06/Pro-Program-Manager.png
https://www.findmyprofession.com/wp-content/uploads/2024/06/Pro-Program-Manager-2.png
https://www.bbb.org/us/co/golden/profile/resume-services/find-my-profession-inc-1296-90260468/complaints
https://www.trustpilot.com/review/www.findmyprofession.com</x:v>
      </x:c>
    </x:row>
    <x:row r="8" ht="112" customHeight="1">
      <x:c r="A8" s="15" t="str">
        <x:v>C03</x:v>
      </x:c>
      <x:c r="B8" s="15" t="str">
        <x:v>TopStack Resume</x:v>
      </x:c>
      <x:c r="C8" s="15" t="str">
        <x:v>Budget-conscious and early-career buyers</x:v>
      </x:c>
      <x:c r="D8" s="15" t="str">
        <x:v>$189 Launch; $279 Propel; optional call +$40</x:v>
      </x:c>
      <x:c r="E8" s="15" t="str">
        <x:v>Low-cost document bundle and draft preview</x:v>
      </x:c>
      <x:c r="F8" s="15" t="str">
        <x:v>Optional live intake; certification not required for every writer</x:v>
      </x:c>
      <x:c r="G8" s="15" t="str">
        <x:v>Process and customer evidence; no full visual sample</x:v>
      </x:c>
      <x:c r="H8" s="15" t="str">
        <x:v>Resume, cover letter, LinkedIn; consultation add-on</x:v>
      </x:c>
      <x:c r="I8" s="15" t="str">
        <x:v>S010 S011 S012 S013 S108</x:v>
      </x:c>
      <x:c r="J8" s="15" t="str">
        <x:v>https://www.topstackresume.com/pricing
https://www.topstackresume.com/refunds
https://jobs.gusto.com/postings/topstack-resume-resume-writer-part-time-and-full-time-positions-available-6ebb6cac-c3e8-4886-a092-fcef783e62e3
https://www.bbb.org/us/nc/chapel-hill/profile/resume-services/topstack-resume-0593-90320403/complaints
https://www.trustpilot.com/review/topstackresume.com</x:v>
      </x:c>
    </x:row>
    <x:row r="9" ht="112" customHeight="1">
      <x:c r="A9" s="15" t="str">
        <x:v>C04</x:v>
      </x:c>
      <x:c r="B9" s="15" t="str">
        <x:v>Resumeble</x:v>
      </x:c>
      <x:c r="C9" s="15" t="str">
        <x:v>Value-focused document bundles</x:v>
      </x:c>
      <x:c r="D9" s="15" t="str">
        <x:v>$157–$1,197; Professional $297 in retained offer</x:v>
      </x:c>
      <x:c r="E9" s="15" t="str">
        <x:v>Accessible bundles and responsive writer contact</x:v>
      </x:c>
      <x:c r="F9" s="15" t="str">
        <x:v>Some generic sample content; writer identity verification limited</x:v>
      </x:c>
      <x:c r="G9" s="15" t="str">
        <x:v>Selected complete two-page accounting example inspected</x:v>
      </x:c>
      <x:c r="H9" s="15" t="str">
        <x:v>Resume, cover letter, LinkedIn and executive tiers</x:v>
      </x:c>
      <x:c r="I9" s="15" t="str">
        <x:v>S014 S015 S016 S017 S018 S019</x:v>
      </x:c>
      <x:c r="J9" s="15" t="str">
        <x:v>https://www.resumeble.com/resume-packages
https://www.resumeble.com/our-writers
https://www.resumeble.com/terms-condition
https://www.trustpilot.com/review/www.resumeble.com
https://www.resumeble.com/images/sample-resume/finance.jpg
https://www.resumeble.com/images/sample-resume/finance-2.png</x:v>
      </x:c>
    </x:row>
    <x:row r="10" ht="112" customHeight="1">
      <x:c r="A10" s="15" t="str">
        <x:v>C05</x:v>
      </x:c>
      <x:c r="B10" s="15" t="str">
        <x:v>ResumeSpice</x:v>
      </x:c>
      <x:c r="C10" s="15" t="str">
        <x:v>Consultation-led professional and executive writing</x:v>
      </x:c>
      <x:c r="D10" s="15" t="str">
        <x:v>$479 entry; $589 professional; $699 executive résumé</x:v>
      </x:c>
      <x:c r="E10" s="15" t="str">
        <x:v>Strong independent customer experience and clear consultation</x:v>
      </x:c>
      <x:c r="F10" s="15" t="str">
        <x:v>Employee-only FAQ conflicts with contractor-permitting terms</x:v>
      </x:c>
      <x:c r="G10" s="15" t="str">
        <x:v>Process and customer evidence; no full visual sample</x:v>
      </x:c>
      <x:c r="H10" s="15" t="str">
        <x:v>Resume, letters, LinkedIn, interview/career support</x:v>
      </x:c>
      <x:c r="I10" s="15" t="str">
        <x:v>S020 S021 S022 S023 S024</x:v>
      </x:c>
      <x:c r="J10" s="15" t="str">
        <x:v>https://resumespice.com/pricing/resumes-cover-letters-interviews-linkedin/
https://resumespice.com/about/frequently-asked-questions-about-resume-writers/
https://resumespice.com/terms-and-conditions/
https://www.bbb.org/us/tx/houston/profile/resume-services/resumespice-0915-90047381/complaints
https://www.trustpilot.com/review/resumespice.com</x:v>
      </x:c>
    </x:row>
    <x:row r="11" ht="112" customHeight="1">
      <x:c r="A11" s="15" t="str">
        <x:v>C06</x:v>
      </x:c>
      <x:c r="B11" s="15" t="str">
        <x:v>Great Resumes Fast</x:v>
      </x:c>
      <x:c r="C11" s="15" t="str">
        <x:v>Executive positioning with a specialist team</x:v>
      </x:c>
      <x:c r="D11" s="15" t="str">
        <x:v>$895–$1,095 résumé; $1,395–$1,695 branding ranges</x:v>
      </x:c>
      <x:c r="E11" s="15" t="str">
        <x:v>Strong examined executive narrative and deep discovery</x:v>
      </x:c>
      <x:c r="F11" s="15" t="str">
        <x:v>Aggregate outcome statistics lack complete methods</x:v>
      </x:c>
      <x:c r="G11" s="15" t="str">
        <x:v>Selected complete two-page executive example inspected</x:v>
      </x:c>
      <x:c r="H11" s="15" t="str">
        <x:v>Executive resume, LinkedIn, biography/branding and support packages</x:v>
      </x:c>
      <x:c r="I11" s="15" t="str">
        <x:v>S025 S026 S027 S028 S122</x:v>
      </x:c>
      <x:c r="J11" s="15" t="str">
        <x:v>https://greatresumesfast.com/services-executive-resume-writers/
https://greatresumesfast.com/consult/
https://www.trustpilot.com/review/greatresumesfast.com
https://greatresumesfast.com/wp-content/uploads/2026/01/High-Impact-Marketing-Executive-Resume-1.pdf
https://members.parwcc.com/members/?id=61014155</x:v>
      </x:c>
    </x:row>
    <x:row r="12" ht="112" customHeight="1">
      <x:c r="A12" s="15" t="str">
        <x:v>C07</x:v>
      </x:c>
      <x:c r="B12" s="15" t="str">
        <x:v>TopResume</x:v>
      </x:c>
      <x:c r="C12" s="15" t="str">
        <x:v>Broad-market low initial-price writing</x:v>
      </x:c>
      <x:c r="D12" s="15" t="str">
        <x:v>$179–$599; platform subscription terms separate</x:v>
      </x:c>
      <x:c r="E12" s="15" t="str">
        <x:v>Accessible packages and some satisfied customers</x:v>
      </x:c>
      <x:c r="F12" s="15" t="str">
        <x:v>Documented complaint pattern and inconsistent writer experience</x:v>
      </x:c>
      <x:c r="G12" s="15" t="str">
        <x:v>Selected two-page illustrative marketing example inspected</x:v>
      </x:c>
      <x:c r="H12" s="15" t="str">
        <x:v>Resume, letters, LinkedIn, coaching/platform and recruiting tiers</x:v>
      </x:c>
      <x:c r="I12" s="15" t="str">
        <x:v>S029 S030 S031 S032 S034 S035 S036</x:v>
      </x:c>
      <x:c r="J12" s="15" t="str">
        <x:v>https://topresume.com/resume-writing
https://topresume.com/faq
https://topresume.com/writers
https://www.trustpilot.com/review/topresume.com
https://www.bbb.org/us/ny/new-york/profile/resume-services/talent-worldwide-inc-0121-151339/complaints
https://topresume.com/career-advice/dollars-sense-of-professional-resume
https://topresume.com/samples/resumes/mid-career-professional</x:v>
      </x:c>
    </x:row>
    <x:row r="13" ht="112" customHeight="1">
      <x:c r="A13" s="15" t="str">
        <x:v>C08</x:v>
      </x:c>
      <x:c r="B13" s="15" t="str">
        <x:v>The Resume Place</x:v>
      </x:c>
      <x:c r="C13" s="15" t="str">
        <x:v>Federal and senior federal applicants</x:v>
      </x:c>
      <x:c r="D13" s="15" t="str">
        <x:v>$210/$260 consultations; complete writing project quoted</x:v>
      </x:c>
      <x:c r="E13" s="15" t="str">
        <x:v>Deep federal expertise and independent professional recognition</x:v>
      </x:c>
      <x:c r="F13" s="15" t="str">
        <x:v>Limited recent writing-customer evidence; total quote required</x:v>
      </x:c>
      <x:c r="G13" s="15" t="str">
        <x:v>Prior federal sample record retained; no new visual inspection</x:v>
      </x:c>
      <x:c r="H13" s="15" t="str">
        <x:v>Federal resume, SES narratives, consultation and training</x:v>
      </x:c>
      <x:c r="I13" s="15" t="str">
        <x:v>S037 S038 S039 S040 S066</x:v>
      </x:c>
      <x:c r="J13" s="15" t="str">
        <x:v>https://resume-place.com/federal-resumes/federal-resume-fees/
https://resume-place.com/federal-resumes/federal-resume-samples/
https://events.georgetown.edu/pivot-with-purpose/event/38146-writing-the-new-2-page-federal-resume/
https://the-resume-place.pissedconsumer.com/review.html
https://thenrwa.org/industryheroaward</x:v>
      </x:c>
    </x:row>
    <x:row r="14" ht="112" customHeight="1">
      <x:c r="A14" s="15" t="str">
        <x:v>C09</x:v>
      </x:c>
      <x:c r="B14" s="15" t="str">
        <x:v>Ivy League Résumés</x:v>
      </x:c>
      <x:c r="C14" s="15" t="str">
        <x:v>Direct expert professional and executive service</x:v>
      </x:c>
      <x:c r="D14" s="15" t="str">
        <x:v>$499.95–$895 published customized tiers</x:v>
      </x:c>
      <x:c r="E14" s="15" t="str">
        <x:v>Strong combination of named expertise, detailed feedback and value</x:v>
      </x:c>
      <x:c r="F14" s="15" t="str">
        <x:v>Cross-brand archive is not a résumé-only audited customer census</x:v>
      </x:c>
      <x:c r="G14" s="15" t="str">
        <x:v>Selected complete two-page COO example inspected</x:v>
      </x:c>
      <x:c r="H14" s="15" t="str">
        <x:v>Customized resumes, letters, LinkedIn and practitioner career support</x:v>
      </x:c>
      <x:c r="I14" s="15" t="str">
        <x:v>S041 S043 S044 S045 S046</x:v>
      </x:c>
      <x:c r="J14" s="15" t="str">
        <x:v>https://www.ivyleaguecoaching.com/results
https://www.ivyleaguecoaching.com/files/resume-samples/private-equity-chief-operating-officer-resume-sample.pdf
https://thenrwa.org/Sys/PublicProfile/30439154
https://careercoaches.alumni.columbia.edu/keith_miller
https://ivyleagueresume.com/knowledge/records/service-page-services.html</x:v>
      </x:c>
    </x:row>
    <x:row r="15" ht="112" customHeight="1">
      <x:c r="A15" s="15" t="str">
        <x:v>C10</x:v>
      </x:c>
      <x:c r="B15" s="15" t="str">
        <x:v>JobStars USA</x:v>
      </x:c>
      <x:c r="C15" s="15" t="str">
        <x:v>Clients valuing extended collaboration</x:v>
      </x:c>
      <x:c r="D15" s="15" t="str">
        <x:v>$495–$895 Bronze; broader tiers up to $1,495</x:v>
      </x:c>
      <x:c r="E15" s="15" t="str">
        <x:v>Thirty-day revisions and attentive boutique support</x:v>
      </x:c>
      <x:c r="F15" s="15" t="str">
        <x:v>Assigned-writer qualification and complete sample not verified</x:v>
      </x:c>
      <x:c r="G15" s="15" t="str">
        <x:v>Process and customer evidence; no full visual sample</x:v>
      </x:c>
      <x:c r="H15" s="15" t="str">
        <x:v>Resume, thank-you/reference documents, LinkedIn and distribution tiers</x:v>
      </x:c>
      <x:c r="I15" s="15" t="str">
        <x:v>S047 S048 S049 S050</x:v>
      </x:c>
      <x:c r="J15" s="15" t="str">
        <x:v>https://jobstars.com/product/resume-writing-bronze/
https://jobstars.com/resume-writing/
https://www.bbb.org/us/il/chicago/profile/career-counseling/jobstars-usa-llc-0654-90008884/complaints
https://www.bbb.org/us/il/chicago/profile/career-counseling/jobstars-usa-llc-0654-90008884/customer-reviews</x:v>
      </x:c>
    </x:row>
    <x:row r="16" ht="112" customHeight="1">
      <x:c r="A16" s="15" t="str">
        <x:v>C11</x:v>
      </x:c>
      <x:c r="B16" s="15" t="str">
        <x:v>Resume Professional Writers</x:v>
      </x:c>
      <x:c r="C16" s="15" t="str">
        <x:v>Low-cost writing with extensive revision access</x:v>
      </x:c>
      <x:c r="D16" s="15" t="str">
        <x:v>$125 / $195 / $305 / $485</x:v>
      </x:c>
      <x:c r="E16" s="15" t="str">
        <x:v>Low entry price and written refund schedule</x:v>
      </x:c>
      <x:c r="F16" s="15" t="str">
        <x:v>Concrete grammar and achievement-development weaknesses in sample</x:v>
      </x:c>
      <x:c r="G16" s="15" t="str">
        <x:v>One financial-analyst page visually inspected; full PDF text retained</x:v>
      </x:c>
      <x:c r="H16" s="15" t="str">
        <x:v>Resume, letters, LinkedIn and higher-tier document bundles</x:v>
      </x:c>
      <x:c r="I16" s="15" t="str">
        <x:v>S051 S052 S053 S054</x:v>
      </x:c>
      <x:c r="J16" s="15" t="str">
        <x:v>https://www.resumeprofessionalwriters.com/faq/
https://www.resumeprofessionalwriters.com/project-agreement/
https://www.resumeprofessionalwriters.com/resume-example/financial-analyst-resume-example.pdf
https://www.trustpilot.com/review/www.resumeprofessionalwriters.com</x:v>
      </x:c>
    </x:row>
    <x:row r="17" ht="112" customHeight="1">
      <x:c r="A17" s="15" t="str">
        <x:v>C12</x:v>
      </x:c>
      <x:c r="B17" s="15" t="str">
        <x:v>iCareerSolutions</x:v>
      </x:c>
      <x:c r="C17" s="15" t="str">
        <x:v>Technology and executive career positioning</x:v>
      </x:c>
      <x:c r="D17" s="15" t="str">
        <x:v>$495 / $795 / $1,295 professional tiers</x:v>
      </x:c>
      <x:c r="E17" s="15" t="str">
        <x:v>Substantial consultation and corrected favorable BBB record</x:v>
      </x:c>
      <x:c r="F17" s="15" t="str">
        <x:v>Older independent review sample; outcome claims unsubstantiated</x:v>
      </x:c>
      <x:c r="G17" s="15" t="str">
        <x:v>Process and customer evidence; no full visual sample</x:v>
      </x:c>
      <x:c r="H17" s="15" t="str">
        <x:v>Resume, letters, LinkedIn, executive branding; recruiting separate</x:v>
      </x:c>
      <x:c r="I17" s="15" t="str">
        <x:v>S055 S056 S057 S058 S059</x:v>
      </x:c>
      <x:c r="J17" s="15" t="str">
        <x:v>https://icareersolutions.com/professional-resume-writing-services/
https://icareersolutions.com/terms-and-conditions/
https://www.bbb.org/us/ny/new-york/profile/career-counseling/icareersolutions-0121-87142363
https://www.bbb.org/us/ny/new-york/profile/career-counseling/icareersolutions-0121-87142363/complaints
https://www.trustpilot.com/review/icareersolutions.com</x:v>
      </x:c>
    </x:row>
    <x:row r="18" ht="112" customHeight="1">
      <x:c r="A18" s="15" t="str">
        <x:v>C13</x:v>
      </x:c>
      <x:c r="B18" s="15" t="str">
        <x:v>Distinctive Career Services</x:v>
      </x:c>
      <x:c r="C18" s="15" t="str">
        <x:v>Executive branding and complex career narratives</x:v>
      </x:c>
      <x:c r="D18" s="15" t="str">
        <x:v>Individual quote; old guide is not a current fixed price</x:v>
      </x:c>
      <x:c r="E18" s="15" t="str">
        <x:v>Substantive portfolio and exceptional professional contribution</x:v>
      </x:c>
      <x:c r="F18" s="15" t="str">
        <x:v>Historical survey and sample; current quote required</x:v>
      </x:c>
      <x:c r="G18" s="15" t="str">
        <x:v>Selected complete three-page CEO example inspected</x:v>
      </x:c>
      <x:c r="H18" s="15" t="str">
        <x:v>Resume and executive branding, LinkedIn, career documents</x:v>
      </x:c>
      <x:c r="I18" s="15" t="str">
        <x:v>S060 S061 S062 S063 S064 S066 S117 S120</x:v>
      </x:c>
      <x:c r="J18" s="15" t="str">
        <x:v>https://www.distinctiveweb.com/resume-service-reviews/
https://www.distinctiveweb.com/project-examples/c-level-executive-resume-example/
https://www.distinctiveweb.com/wp-content/uploads/2019/11/C-level-Executive-Resume_Page_1.jpg
https://www.distinctiveweb.com/wp-content/uploads/2019/11/C-level-Executive-Resume_Page_2.jpg
https://www.distinctiveweb.com/wp-content/uploads/2019/11/C-level-Executive-Resume_Page_3.jpg
https://thenrwa.org/industryheroaward
https://www.thenrwa.org/Sys/PublicProfile/8775749/3660697
https://www.prweb.com/releases/career_directors_international_announces_2014_winners_of_the_tori_resume_writing_award_competition/prweb12326042.htm</x:v>
      </x:c>
    </x:row>
    <x:row r="19" ht="112" customHeight="1">
      <x:c r="A19" s="15" t="str">
        <x:v>C14</x:v>
      </x:c>
      <x:c r="B19" s="15" t="str">
        <x:v>Resume Writing Group</x:v>
      </x:c>
      <x:c r="C19" s="15" t="str">
        <x:v>Low-cost rapid résumé services</x:v>
      </x:c>
      <x:c r="D19" s="15" t="str">
        <x:v>$149.95 entry / $189.95 professional / $239.95 executive, retained offers</x:v>
      </x:c>
      <x:c r="E19" s="15" t="str">
        <x:v>Low advertised fees and revision availability</x:v>
      </x:c>
      <x:c r="F19" s="15" t="str">
        <x:v>Billing disputes and restrictive guarantee requirements</x:v>
      </x:c>
      <x:c r="G19" s="15" t="str">
        <x:v>Historical sample assessment retained; no new visual inspection</x:v>
      </x:c>
      <x:c r="H19" s="15" t="str">
        <x:v>Resume, letters, LinkedIn and optional subscription/distribution services</x:v>
      </x:c>
      <x:c r="I19" s="15" t="str">
        <x:v>S067 S068 S069 S070</x:v>
      </x:c>
      <x:c r="J19" s="15" t="str">
        <x:v>https://www.resumewritinggroup.com/
https://www.bbb.org/us/wi/jefferson/profile/resume-services/resume-writing-group-0694-1000057847/complaints
https://www.resumewritinggroup.com/assets/resumewritingterms.pdf
https://www.trustpilot.com/review/resumewritinggroup.com</x:v>
      </x:c>
    </x:row>
    <x:row r="20" ht="112" customHeight="1">
      <x:c r="A20" s="15" t="str">
        <x:v>C15</x:v>
      </x:c>
      <x:c r="B20" s="15" t="str">
        <x:v>An Expert Resume</x:v>
      </x:c>
      <x:c r="C20" s="15" t="str">
        <x:v>Senior technical, healthcare and executive clients</x:v>
      </x:c>
      <x:c r="D20" s="15" t="str">
        <x:v>$1,797 résumé; rush option separate</x:v>
      </x:c>
      <x:c r="E20" s="15" t="str">
        <x:v>Exclusive senior-expert authorship and detailed outcome accounts</x:v>
      </x:c>
      <x:c r="F20" s="15" t="str">
        <x:v>Premium cost; no complete visual sample assessment</x:v>
      </x:c>
      <x:c r="G20" s="15" t="str">
        <x:v>Process and customer evidence; no full visual sample</x:v>
      </x:c>
      <x:c r="H20" s="15" t="str">
        <x:v>Executive resume, LinkedIn, biography and branding options</x:v>
      </x:c>
      <x:c r="I20" s="15" t="str">
        <x:v>S071 S072 S073 S119 S120</x:v>
      </x:c>
      <x:c r="J20" s="15" t="str">
        <x:v>https://www.anexpertresume.com/executive-resume-services/expert-package-service/
https://www.anexpertresume.com/faqs/
https://www.anexpertresume.com/executive-resume-writer/laura-smith-proulx-executive-resume-writer-reviews/
https://www.job-hunt.org/author/lsmith-proulx/
https://www.prweb.com/releases/career_directors_international_announces_2014_winners_of_the_tori_resume_writing_award_competition/prweb12326042.htm</x:v>
      </x:c>
    </x:row>
    <x:row r="21" ht="112" customHeight="1">
      <x:c r="A21" s="15" t="str">
        <x:v>C16</x:v>
      </x:c>
      <x:c r="B21" s="15" t="str">
        <x:v>Resume Target</x:v>
      </x:c>
      <x:c r="C21" s="15" t="str">
        <x:v>Buyers preferring a defined interview length</x:v>
      </x:c>
      <x:c r="D21" s="15" t="str">
        <x:v>$299 / $349 / $399 / $499; currency unresolved</x:v>
      </x:c>
      <x:c r="E21" s="15" t="str">
        <x:v>Tiered live consultation and coordinated letter</x:v>
      </x:c>
      <x:c r="F21" s="15" t="str">
        <x:v>Thin original-platform evidence; large outcome claim unverified</x:v>
      </x:c>
      <x:c r="G21" s="15" t="str">
        <x:v>Process and customer evidence; no full visual sample</x:v>
      </x:c>
      <x:c r="H21" s="15" t="str">
        <x:v>Resume and cover letter; higher-level consultation and LinkedIn options</x:v>
      </x:c>
      <x:c r="I21" s="15" t="str">
        <x:v>S075 S076 S077 S078</x:v>
      </x:c>
      <x:c r="J21" s="15" t="str">
        <x:v>https://www.resumetarget.com/resume-writing-service.php
https://www.resumetarget.com/our-writers.php
https://www.resumetarget.com/90-day-guarantee.php
https://www.bbb.org/ca/on/toronto/profile/resume-services/resume-target-inc-0107-1244045/complaints</x:v>
      </x:c>
    </x:row>
    <x:row r="22" ht="112" customHeight="1">
      <x:c r="A22" s="15" t="str">
        <x:v>C17</x:v>
      </x:c>
      <x:c r="B22" s="15" t="str">
        <x:v>The Writing Guru</x:v>
      </x:c>
      <x:c r="C22" s="15" t="str">
        <x:v>Senior legal, board and C-suite candidates</x:v>
      </x:c>
      <x:c r="D22" s="15" t="str">
        <x:v>$3,995 executive / $4,995 board / $5,995 combined</x:v>
      </x:c>
      <x:c r="E22" s="15" t="str">
        <x:v>Direct legal-domain writer with strong external recognition</x:v>
      </x:c>
      <x:c r="F22" s="15" t="str">
        <x:v>High cost and booking lead time; one credential-status discrepancy</x:v>
      </x:c>
      <x:c r="G22" s="15" t="str">
        <x:v>Redacted example policy and process; no full visual sample</x:v>
      </x:c>
      <x:c r="H22" s="15" t="str">
        <x:v>Executive and board resumes, bios, LinkedIn, personal branding</x:v>
      </x:c>
      <x:c r="I22" s="15" t="str">
        <x:v>S079 S080 S082 S083 S116 S121</x:v>
      </x:c>
      <x:c r="J22" s="15" t="str">
        <x:v>https://writingguru.net/contact-us/
https://thenrwa.org/Sys/PublicProfile/12181995/3660697
https://writingguru.net/the-writing-guru-wendi-weiner-executive-resume-writer-reviews/
https://writingguru.net/resume-samples/
https://www.americanbar.org/news/abanews/aba-news-archives/2025/09/gp-solo-difference-makers-award-winners/
https://writingguru.net/wendi-weiner/</x:v>
      </x:c>
    </x:row>
    <x:row r="23" ht="112" customHeight="1">
      <x:c r="A23" s="15" t="str">
        <x:v>C18</x:v>
      </x:c>
      <x:c r="B23" s="15" t="str">
        <x:v>Career Impressions</x:v>
      </x:c>
      <x:c r="C23" s="15" t="str">
        <x:v>Direct executive résumé and LinkedIn strategy</x:v>
      </x:c>
      <x:c r="D23" s="15" t="str">
        <x:v>CAD 1,295–2,095 résumé; CAD 1,895–2,695 with LinkedIn</x:v>
      </x:c>
      <x:c r="E23" s="15" t="str">
        <x:v>Named CERM practitioner and substantive executive positioning</x:v>
      </x:c>
      <x:c r="F23" s="15" t="str">
        <x:v>Selected outcome accounts; prices are Canadian dollars</x:v>
      </x:c>
      <x:c r="G23" s="15" t="str">
        <x:v>One selected COO excerpt visually inspected</x:v>
      </x:c>
      <x:c r="H23" s="15" t="str">
        <x:v>Executive resume, LinkedIn, letters and branding tiers</x:v>
      </x:c>
      <x:c r="I23" s="15" t="str">
        <x:v>S084 S085 S087 S088 S120</x:v>
      </x:c>
      <x:c r="J23" s="15" t="str">
        <x:v>https://careerimpressions.ca/packages/
https://careerimpressions.ca/testimonials/
https://careerimpressions.ca/wp-content/uploads/2025/05/Image-2025-05-14-at-11.56%E2%80%AFAM.jpeg
https://careerdirectors.com/certified-executive-resume-masters-cerm/
https://www.prweb.com/releases/career_directors_international_announces_2014_winners_of_the_tori_resume_writing_award_competition/prweb12326042.htm</x:v>
      </x:c>
    </x:row>
    <x:row r="24" ht="112" customHeight="1">
      <x:c r="A24" s="15" t="str">
        <x:v>C19</x:v>
      </x:c>
      <x:c r="B24" s="15" t="str">
        <x:v>CareerProPlus / CareerPro Global</x:v>
      </x:c>
      <x:c r="C24" s="15" t="str">
        <x:v>Federal, military and SES transitions</x:v>
      </x:c>
      <x:c r="D24" s="15" t="str">
        <x:v>Custom quote; no current official total recovered</x:v>
      </x:c>
      <x:c r="E24" s="15" t="str">
        <x:v>Long operating history and specialist customer accounts</x:v>
      </x:c>
      <x:c r="F24" s="15" t="str">
        <x:v>Current offer access and document inspection incomplete</x:v>
      </x:c>
      <x:c r="G24" s="15" t="str">
        <x:v>Customer/process evidence; no full visual sample</x:v>
      </x:c>
      <x:c r="H24" s="15" t="str">
        <x:v>Federal and military resume, SES narratives and transition support</x:v>
      </x:c>
      <x:c r="I24" s="15" t="str">
        <x:v>S089 S090 S091 S092</x:v>
      </x:c>
      <x:c r="J24" s="15" t="str">
        <x:v>https://www.careerproplus.com/
https://www.bbb.org/us/ga/macon/profile/career-counseling/careerpro-global-inc-0743-6495
https://www.bbb.org/us/ga/macon/profile/career-counseling/careerpro-global-inc-0743-6495/customer-reviews
https://www.bbb.org/us/ga/macon/profile/career-counseling/careerpro-global-inc-0743-6495/complaints</x:v>
      </x:c>
    </x:row>
    <x:row r="25" ht="112" customHeight="1">
      <x:c r="A25" s="15" t="str">
        <x:v>C20</x:v>
      </x:c>
      <x:c r="B25" s="15" t="str">
        <x:v>Career Steering</x:v>
      </x:c>
      <x:c r="C25" s="15" t="str">
        <x:v>C-suite and senior executive direct authorship</x:v>
      </x:c>
      <x:c r="D25" s="15" t="str">
        <x:v>$1,695 résumé; $2,595 / $3,495 broader retained offers</x:v>
      </x:c>
      <x:c r="E25" s="15" t="str">
        <x:v>Direct expert delivery and sustained repeat relationships</x:v>
      </x:c>
      <x:c r="F25" s="15" t="str">
        <x:v>Premium cost, longer production and no-refund conditions</x:v>
      </x:c>
      <x:c r="G25" s="15" t="str">
        <x:v>Process and customer evidence; no full visual sample</x:v>
      </x:c>
      <x:c r="H25" s="15" t="str">
        <x:v>Executive resume, LinkedIn, biography and multiple-format branding</x:v>
      </x:c>
      <x:c r="I25" s="15" t="str">
        <x:v>S093 S118 S120</x:v>
      </x:c>
      <x:c r="J25" s="15" t="str">
        <x:v>https://careersteering.com/executive-resume-service-writing-services/
https://careerdirectors.com/recruiters-call-great-cover-letter/
https://www.prweb.com/releases/career_directors_international_announces_2014_winners_of_the_tori_resume_writing_award_competition/prweb12326042.htm</x:v>
      </x:c>
    </x:row>
    <x:row r="26" ht="112" customHeight="1">
      <x:c r="A26" s="15" t="str">
        <x:v>C21</x:v>
      </x:c>
      <x:c r="B26" s="15" t="str">
        <x:v>Blue Sky Resumes</x:v>
      </x:c>
      <x:c r="C26" s="15" t="str">
        <x:v>Professional, creative and executive careers</x:v>
      </x:c>
      <x:c r="D26" s="15" t="str">
        <x:v>Professional from $395; executive from $695</x:v>
      </x:c>
      <x:c r="E26" s="15" t="str">
        <x:v>Experienced team continuity and accessible starting offers</x:v>
      </x:c>
      <x:c r="F26" s="15" t="str">
        <x:v>Much independent customer evidence is older</x:v>
      </x:c>
      <x:c r="G26" s="15" t="str">
        <x:v>Before/after approach located; no full visual sample</x:v>
      </x:c>
      <x:c r="H26" s="15" t="str">
        <x:v>Resume, LinkedIn, letters and job-search support</x:v>
      </x:c>
      <x:c r="I26" s="15" t="str">
        <x:v>S095 S096 S111 S112</x:v>
      </x:c>
      <x:c r="J26" s="15" t="str">
        <x:v>https://www.blueskyresumes.com/our-services/
https://www.blueskyresumes.com/our-team/
https://www.blueskyresumes.com/about-us/
https://www.blueskyresumes.com/about-us/are-we-a-good-fit/</x:v>
      </x:c>
    </x:row>
    <x:row r="27" ht="112" customHeight="1">
      <x:c r="A27" s="15" t="str">
        <x:v>C22</x:v>
      </x:c>
      <x:c r="B27" s="15" t="str">
        <x:v>Briefcase Coach</x:v>
      </x:c>
      <x:c r="C27" s="15" t="str">
        <x:v>Senior executive research-led branding</x:v>
      </x:c>
      <x:c r="D27" s="15" t="str">
        <x:v>$1,500–$3,200 résumé; broader engagements to $3,900</x:v>
      </x:c>
      <x:c r="E27" s="15" t="str">
        <x:v>Deep discovery and specific executive client stories</x:v>
      </x:c>
      <x:c r="F27" s="15" t="str">
        <x:v>Premium scope; founder involvement is not exclusive authorship</x:v>
      </x:c>
      <x:c r="G27" s="15" t="str">
        <x:v>Process and selected customer evidence; no full visual sample</x:v>
      </x:c>
      <x:c r="H27" s="15" t="str">
        <x:v>Executive/board resume, LinkedIn, target research and coaching</x:v>
      </x:c>
      <x:c r="I27" s="15" t="str">
        <x:v>S097 S098 S109 S110</x:v>
      </x:c>
      <x:c r="J27" s="15" t="str">
        <x:v>https://www.briefcasecoach.com/schedule-consultation/
https://www.briefcasecoach.com/executive-resumes/
https://www.briefcasecoach.com/about/
https://www.briefcasecoach.com/client-success-stories/</x:v>
      </x:c>
    </x:row>
    <x:row r="28" ht="112" customHeight="1">
      <x:c r="A28" s="15" t="str">
        <x:v>C23</x:v>
      </x:c>
      <x:c r="B28" s="15" t="str">
        <x:v>Klaxos</x:v>
      </x:c>
      <x:c r="C28" s="15" t="str">
        <x:v>Founder-led résumé and LinkedIn development</x:v>
      </x:c>
      <x:c r="D28" s="15" t="str">
        <x:v>Professional page displays $1,198–$1,299 figures</x:v>
      </x:c>
      <x:c r="E28" s="15" t="str">
        <x:v>Explicit personal consultation and writing commitment</x:v>
      </x:c>
      <x:c r="F28" s="15" t="str">
        <x:v>Subscription complaint/no-complaints claim require contextual reporting</x:v>
      </x:c>
      <x:c r="G28" s="15" t="str">
        <x:v>Process and customer evidence; no full visual sample</x:v>
      </x:c>
      <x:c r="H28" s="15" t="str">
        <x:v>Resume, LinkedIn, executive biography and toolkit options</x:v>
      </x:c>
      <x:c r="I28" s="15" t="str">
        <x:v>S099 S100 S101</x:v>
      </x:c>
      <x:c r="J28" s="15" t="str">
        <x:v>https://klaxos.com/services/professional-resume-linkedin-writing/
https://klaxos.com/faq/
https://www.bbb.org/us/dc/washington/profile/resume-services/klaxos-0241-235999426/complaints</x:v>
      </x:c>
    </x:row>
    <x:row r="29" ht="112" customHeight="1">
      <x:c r="A29" s="15" t="str">
        <x:v>C24</x:v>
      </x:c>
      <x:c r="B29" s="15" t="str">
        <x:v>Scientech Resumes / Scientech Career Systems</x:v>
      </x:c>
      <x:c r="C29" s="15" t="str">
        <x:v>STEM, scientific and technical careers</x:v>
      </x:c>
      <x:c r="D29" s="15" t="str">
        <x:v>Custom quote; unpublished base price not estimated</x:v>
      </x:c>
      <x:c r="E29" s="15" t="str">
        <x:v>Technical familiarity and sustained personal support</x:v>
      </x:c>
      <x:c r="F29" s="15" t="str">
        <x:v>Small outcome sample and no full document inspection</x:v>
      </x:c>
      <x:c r="G29" s="15" t="str">
        <x:v>Process plus one specific outcome account; no full visual sample</x:v>
      </x:c>
      <x:c r="H29" s="15" t="str">
        <x:v>Technical resume, narrative, visibility and interview/negotiation coaching</x:v>
      </x:c>
      <x:c r="I29" s="15" t="str">
        <x:v>S102 S104 S113 S114</x:v>
      </x:c>
      <x:c r="J29" s="15" t="str">
        <x:v>https://scientechresumes.com/scientech-writing-process/
https://thenrwa.org/widget/Sys/PublicProfile/39361944/4674619
https://scientechresumes.com/new-clients/
https://www.linkedin.com/in/kateewilliamson</x:v>
      </x:c>
    </x:row>
    <x:row r="30" ht="112" customHeight="1">
      <x:c r="A30" s="15" t="str">
        <x:v>C25</x:v>
      </x:c>
      <x:c r="B30" s="15" t="str">
        <x:v>Employment BOOST</x:v>
      </x:c>
      <x:c r="C30" s="15" t="str">
        <x:v>Team-based writing with outplacement support</x:v>
      </x:c>
      <x:c r="D30" s="15" t="str">
        <x:v>$749 executive résumé + cover-letter package</x:v>
      </x:c>
      <x:c r="E30" s="15" t="str">
        <x:v>Recent named customers corroborate writing and follow-up</x:v>
      </x:c>
      <x:c r="F30" s="15" t="str">
        <x:v>Many reviews include employer-funded outplacement/coaching</x:v>
      </x:c>
      <x:c r="G30" s="15" t="str">
        <x:v>Process and customer evidence; no full visual sample</x:v>
      </x:c>
      <x:c r="H30" s="15" t="str">
        <x:v>Resume, LinkedIn, letters, interview coaching and corporate outplacement</x:v>
      </x:c>
      <x:c r="I30" s="15" t="str">
        <x:v>S105 S106 S107 S115</x:v>
      </x:c>
      <x:c r="J30" s="15" t="str">
        <x:v>https://employmentboost.com/product/executive-resume-writing-package/
https://employmentboost.com/resume-services/
https://www.bbb.org/us/mi/troy/profile/resume-services/employment-boost-resume-writers-0372-90037896/customer-reviews
https://vendordirectory.shrm.org/company/818721/reviews</x:v>
      </x:c>
    </x:row>
  </x:sheetData>
  <x:mergeCells>
    <x:mergeCell ref="A1:J1"/>
    <x:mergeCell ref="A2:J3"/>
  </x:mergeCells>
  <x:pageMargins left="0.7" right="0.7" top="0.75" bottom="0.75" header="0.3" footer="0.3"/>
  <x:tableParts count="1">
    <x:tablePart xmlns:r="http://schemas.openxmlformats.org/officeDocument/2006/relationships" r:id="R7abbee4d42e348b9"/>
  </x:tableParts>
</x:worksheet>
</file>

<file path=xl/worksheets/sheet5.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10" hidden="0" customWidth="1"/>
    <x:col min="2" max="2" width="30" hidden="0" customWidth="1"/>
    <x:col min="3" max="3" width="30" hidden="0" customWidth="1"/>
    <x:col min="4" max="4" width="10" hidden="0" customWidth="1"/>
    <x:col min="5" max="5" width="12" hidden="0" customWidth="1"/>
    <x:col min="6" max="6" width="14" hidden="0" customWidth="1"/>
    <x:col min="7" max="7" width="60" hidden="0" customWidth="1"/>
    <x:col min="8" max="8" width="22" hidden="0" customWidth="1"/>
    <x:col min="9" max="9" width="48" hidden="0" customWidth="1"/>
    <x:col min="10" max="10" width="38" hidden="0" customWidth="1"/>
  </x:cols>
  <x:sheetData>
    <x:row r="1" ht="32" customHeight="1">
      <x:c r="A1" s="3" t="str">
        <x:v>225 SCORING DECISIONS | REASONS AND SOURCES</x:v>
      </x:c>
      <x:c r="B1" s="3"/>
      <x:c r="C1" s="3"/>
      <x:c r="D1" s="3"/>
      <x:c r="E1" s="3"/>
      <x:c r="F1" s="3"/>
      <x:c r="G1" s="3"/>
      <x:c r="H1" s="3"/>
      <x:c r="I1" s="3"/>
      <x:c r="J1" s="3"/>
    </x:row>
    <x:row r="2" ht="24" customHeight="1">
      <x:c r="A2" s="8" t="str">
        <x:v>Each company has nine ratings. A source establishes the cited facts or attributed accounts; the numerical rating itself is an editorial judgment. No independent testing is implied.</x:v>
      </x:c>
      <x:c r="B2" s="8"/>
      <x:c r="C2" s="8"/>
      <x:c r="D2" s="8"/>
      <x:c r="E2" s="8"/>
      <x:c r="F2" s="8"/>
      <x:c r="G2" s="8"/>
      <x:c r="H2" s="8"/>
      <x:c r="I2" s="8"/>
      <x:c r="J2" s="8"/>
    </x:row>
    <x:row r="3" ht="24" customHeight="1">
      <x:c r="A3" s="8"/>
      <x:c r="B3" s="8"/>
      <x:c r="C3" s="8"/>
      <x:c r="D3" s="8"/>
      <x:c r="E3" s="8"/>
      <x:c r="F3" s="8"/>
      <x:c r="G3" s="8"/>
      <x:c r="H3" s="8"/>
      <x:c r="I3" s="8"/>
      <x:c r="J3" s="8"/>
    </x:row>
    <x:row r="5" ht="34" customHeight="1">
      <x:c r="A5" s="12" t="str">
        <x:v>Company ID</x:v>
      </x:c>
      <x:c r="B5" s="12" t="str">
        <x:v>Company</x:v>
      </x:c>
      <x:c r="C5" s="12" t="str">
        <x:v>Criterion</x:v>
      </x:c>
      <x:c r="D5" s="12" t="str">
        <x:v>Weight</x:v>
      </x:c>
      <x:c r="E5" s="12" t="str">
        <x:v>Rating /10</x:v>
      </x:c>
      <x:c r="F5" s="12" t="str">
        <x:v>Weighted points</x:v>
      </x:c>
      <x:c r="G5" s="12" t="str">
        <x:v>Editorial reasoning</x:v>
      </x:c>
      <x:c r="H5" s="12" t="str">
        <x:v>Source IDs</x:v>
      </x:c>
      <x:c r="I5" s="12" t="str">
        <x:v>Source URLs</x:v>
      </x:c>
      <x:c r="J5" s="12" t="str">
        <x:v>Evidence status</x:v>
      </x:c>
    </x:row>
    <x:row r="6" ht="112" customHeight="1">
      <x:c r="A6" s="15" t="str">
        <x:v>C01</x:v>
      </x:c>
      <x:c r="B6" s="15" t="str">
        <x:v>Let’s Eat, Grandma</x:v>
      </x:c>
      <x:c r="C6" s="15" t="str">
        <x:v>Credible customer feedback</x:v>
      </x:c>
      <x:c r="D6" s="36" t="n">
        <x:f>Rubric!C$6</x:f>
        <x:v>20</x:v>
      </x:c>
      <x:c r="E6" s="38" t="n">
        <x:f>'Score Inputs'!C6</x:f>
        <x:v>8.5</x:v>
      </x:c>
      <x:c r="F6" s="34" t="n">
        <x:f>D6*E6/Rubric!$B$8</x:f>
        <x:v>17</x:v>
      </x:c>
      <x:c r="G6" s="15" t="str">
        <x:v>Detailed recent accounts describe attentive collaboration; meaningful independent review coverage, with some critical experiences.</x:v>
      </x:c>
      <x:c r="H6" s="15" t="str">
        <x:v>S003 S004</x:v>
      </x:c>
      <x:c r="I6" s="15" t="str">
        <x:v>https://www.trustpilot.com/review/www.letseatgrandma.com
https://www.trustindex.io/reviews/letseatgrandma.com</x:v>
      </x:c>
      <x:c r="J6" s="15" t="str">
        <x:v>INFERRED editorial judgment; underlying source classifications retained</x:v>
      </x:c>
    </x:row>
    <x:row r="7" ht="112" customHeight="1">
      <x:c r="A7" s="15" t="str">
        <x:v>C01</x:v>
      </x:c>
      <x:c r="B7" s="15" t="str">
        <x:v>Let’s Eat, Grandma</x:v>
      </x:c>
      <x:c r="C7" s="15" t="str">
        <x:v>Documented results and track record</x:v>
      </x:c>
      <x:c r="D7" s="36" t="n">
        <x:f>Rubric!D$6</x:f>
        <x:v>15</x:v>
      </x:c>
      <x:c r="E7" s="38" t="n">
        <x:f>'Score Inputs'!D6</x:f>
        <x:v>8</x:v>
      </x:c>
      <x:c r="F7" s="34" t="n">
        <x:f>D7*E7/Rubric!$B$8</x:f>
        <x:v>12</x:v>
      </x:c>
      <x:c r="G7" s="15" t="str">
        <x:v>Individual advancement and interview accounts plus repeat use support effectiveness; no guarantee is treated as a success rate.</x:v>
      </x:c>
      <x:c r="H7" s="15" t="str">
        <x:v>S001 S003</x:v>
      </x:c>
      <x:c r="I7" s="15" t="str">
        <x:v>https://www.legresumes.com/
https://www.trustpilot.com/review/www.letseatgrandma.com</x:v>
      </x:c>
      <x:c r="J7" s="15" t="str">
        <x:v>INFERRED editorial judgment; underlying source classifications retained</x:v>
      </x:c>
    </x:row>
    <x:row r="8" ht="112" customHeight="1">
      <x:c r="A8" s="15" t="str">
        <x:v>C01</x:v>
      </x:c>
      <x:c r="B8" s="15" t="str">
        <x:v>Let’s Eat, Grandma</x:v>
      </x:c>
      <x:c r="C8" s="15" t="str">
        <x:v>Pricing, value and transparency</x:v>
      </x:c>
      <x:c r="D8" s="36" t="n">
        <x:f>Rubric!E$6</x:f>
        <x:v>15</x:v>
      </x:c>
      <x:c r="E8" s="38" t="n">
        <x:f>'Score Inputs'!E6</x:f>
        <x:v>8.5</x:v>
      </x:c>
      <x:c r="F8" s="34" t="n">
        <x:f>D8*E8/Rubric!$B$8</x:f>
        <x:v>12.75</x:v>
      </x:c>
      <x:c r="G8" s="15" t="str">
        <x:v>The published Premium bundle includes the three main documents and a consultation at a competitive midmarket price.</x:v>
      </x:c>
      <x:c r="H8" s="15" t="str">
        <x:v>S001 S002</x:v>
      </x:c>
      <x:c r="I8" s="15" t="str">
        <x:v>https://www.legresumes.com/
https://www.legresumes.com/terms/</x:v>
      </x:c>
      <x:c r="J8" s="15" t="str">
        <x:v>INFERRED editorial judgment; underlying source classifications retained</x:v>
      </x:c>
    </x:row>
    <x:row r="9" ht="112" customHeight="1">
      <x:c r="A9" s="15" t="str">
        <x:v>C01</x:v>
      </x:c>
      <x:c r="B9" s="15" t="str">
        <x:v>Let’s Eat, Grandma</x:v>
      </x:c>
      <x:c r="C9" s="15" t="str">
        <x:v>Service depth and personalization</x:v>
      </x:c>
      <x:c r="D9" s="36" t="n">
        <x:f>Rubric!F$6</x:f>
        <x:v>10</x:v>
      </x:c>
      <x:c r="E9" s="38" t="n">
        <x:f>'Score Inputs'!F6</x:f>
        <x:v>8</x:v>
      </x:c>
      <x:c r="F9" s="34" t="n">
        <x:f>D9*E9/Rubric!$B$8</x:f>
        <x:v>8</x:v>
      </x:c>
      <x:c r="G9" s="15" t="str">
        <x:v>Consultation and writer communication support customization; standard scope is less intensive than the deepest executive engagements.</x:v>
      </x:c>
      <x:c r="H9" s="15" t="str">
        <x:v>S001</x:v>
      </x:c>
      <x:c r="I9" s="15" t="str">
        <x:v>https://www.legresumes.com/</x:v>
      </x:c>
      <x:c r="J9" s="15" t="str">
        <x:v>INFERRED editorial judgment; underlying source classifications retained</x:v>
      </x:c>
    </x:row>
    <x:row r="10" ht="112" customHeight="1">
      <x:c r="A10" s="15" t="str">
        <x:v>C01</x:v>
      </x:c>
      <x:c r="B10" s="15" t="str">
        <x:v>Let’s Eat, Grandma</x:v>
      </x:c>
      <x:c r="C10" s="15" t="str">
        <x:v>Writer qualifications and credentials</x:v>
      </x:c>
      <x:c r="D10" s="36" t="n">
        <x:f>Rubric!G$6</x:f>
        <x:v>10</x:v>
      </x:c>
      <x:c r="E10" s="38" t="n">
        <x:f>'Score Inputs'!G6</x:f>
        <x:v>7.5</x:v>
      </x:c>
      <x:c r="F10" s="34" t="n">
        <x:f>D10*E10/Rubric!$B$8</x:f>
        <x:v>7.5</x:v>
      </x:c>
      <x:c r="G10" s="15" t="str">
        <x:v>Defined writing/editorial team and founder preparation provide a credible capability base; assigned-writer credentials are not universally verified.</x:v>
      </x:c>
      <x:c r="H10" s="15" t="str">
        <x:v>S001</x:v>
      </x:c>
      <x:c r="I10" s="15" t="str">
        <x:v>https://www.legresumes.com/</x:v>
      </x:c>
      <x:c r="J10" s="15" t="str">
        <x:v>INFERRED editorial judgment; underlying source classifications retained</x:v>
      </x:c>
    </x:row>
    <x:row r="11" ht="112" customHeight="1">
      <x:c r="A11" s="15" t="str">
        <x:v>C01</x:v>
      </x:c>
      <x:c r="B11" s="15" t="str">
        <x:v>Let’s Eat, Grandma</x:v>
      </x:c>
      <x:c r="C11" s="15" t="str">
        <x:v>Quality standards and commitment</x:v>
      </x:c>
      <x:c r="D11" s="36" t="n">
        <x:f>Rubric!H$6</x:f>
        <x:v>10</x:v>
      </x:c>
      <x:c r="E11" s="38" t="n">
        <x:f>'Score Inputs'!H6</x:f>
        <x:v>8</x:v>
      </x:c>
      <x:c r="F11" s="34" t="n">
        <x:f>D11*E11/Rubric!$B$8</x:f>
        <x:v>8</x:v>
      </x:c>
      <x:c r="G11" s="15" t="str">
        <x:v>Editorial review and specific customer descriptions support strong process quality; no full sample was visually assessed in the retained audit.</x:v>
      </x:c>
      <x:c r="H11" s="15" t="str">
        <x:v>S001 S003</x:v>
      </x:c>
      <x:c r="I11" s="15" t="str">
        <x:v>https://www.legresumes.com/
https://www.trustpilot.com/review/www.letseatgrandma.com</x:v>
      </x:c>
      <x:c r="J11" s="15" t="str">
        <x:v>INFERRED editorial judgment; underlying source classifications retained</x:v>
      </x:c>
    </x:row>
    <x:row r="12" ht="112" customHeight="1">
      <x:c r="A12" s="15" t="str">
        <x:v>C01</x:v>
      </x:c>
      <x:c r="B12" s="15" t="str">
        <x:v>Let’s Eat, Grandma</x:v>
      </x:c>
      <x:c r="C12" s="15" t="str">
        <x:v>Serious complaints and resolution</x:v>
      </x:c>
      <x:c r="D12" s="36" t="n">
        <x:f>Rubric!I$6</x:f>
        <x:v>10</x:v>
      </x:c>
      <x:c r="E12" s="38" t="n">
        <x:f>'Score Inputs'!I6</x:f>
        <x:v>7.5</x:v>
      </x:c>
      <x:c r="F12" s="34" t="n">
        <x:f>D12*E12/Rubric!$B$8</x:f>
        <x:v>7.5</x:v>
      </x:c>
      <x:c r="G12" s="15" t="str">
        <x:v>A written satisfaction process exists; the short revision window and disputed refund case keep this below the strongest support ratings.</x:v>
      </x:c>
      <x:c r="H12" s="15" t="str">
        <x:v>S002 S003</x:v>
      </x:c>
      <x:c r="I12" s="15" t="str">
        <x:v>https://www.legresumes.com/terms/
https://www.trustpilot.com/review/www.letseatgrandma.com</x:v>
      </x:c>
      <x:c r="J12" s="15" t="str">
        <x:v>INFERRED editorial judgment; underlying source classifications retained</x:v>
      </x:c>
    </x:row>
    <x:row r="13" ht="112" customHeight="1">
      <x:c r="A13" s="15" t="str">
        <x:v>C01</x:v>
      </x:c>
      <x:c r="B13" s="15" t="str">
        <x:v>Let’s Eat, Grandma</x:v>
      </x:c>
      <x:c r="C13" s="15" t="str">
        <x:v>History and stability</x:v>
      </x:c>
      <x:c r="D13" s="36" t="n">
        <x:f>Rubric!J$6</x:f>
        <x:v>5</x:v>
      </x:c>
      <x:c r="E13" s="38" t="n">
        <x:f>'Score Inputs'!J6</x:f>
        <x:v>7.5</x:v>
      </x:c>
      <x:c r="F13" s="34" t="n">
        <x:f>D13*E13/Rubric!$B$8</x:f>
        <x:v>3.75</x:v>
      </x:c>
      <x:c r="G13" s="15" t="str">
        <x:v>An established ongoing practice and multi-year customer record support continuity; it is not one of the longest-tenured firms.</x:v>
      </x:c>
      <x:c r="H13" s="15" t="str">
        <x:v>S003 S004</x:v>
      </x:c>
      <x:c r="I13" s="15" t="str">
        <x:v>https://www.trustpilot.com/review/www.letseatgrandma.com
https://www.trustindex.io/reviews/letseatgrandma.com</x:v>
      </x:c>
      <x:c r="J13" s="15" t="str">
        <x:v>INFERRED editorial judgment; underlying source classifications retained</x:v>
      </x:c>
    </x:row>
    <x:row r="14" ht="112" customHeight="1">
      <x:c r="A14" s="15" t="str">
        <x:v>C01</x:v>
      </x:c>
      <x:c r="B14" s="15" t="str">
        <x:v>Let’s Eat, Grandma</x:v>
      </x:c>
      <x:c r="C14" s="15" t="str">
        <x:v>Independently supported professional reputation</x:v>
      </x:c>
      <x:c r="D14" s="36" t="n">
        <x:f>Rubric!K$6</x:f>
        <x:v>5</x:v>
      </x:c>
      <x:c r="E14" s="38" t="n">
        <x:f>'Score Inputs'!K6</x:f>
        <x:v>7.5</x:v>
      </x:c>
      <x:c r="F14" s="34" t="n">
        <x:f>D14*E14/Rubric!$B$8</x:f>
        <x:v>3.75</x:v>
      </x:c>
      <x:c r="G14" s="15" t="str">
        <x:v>Public professional visibility and a defined editorial practice support standing; self-rankings and review stars are not counted as independent awards.</x:v>
      </x:c>
      <x:c r="H14" s="15" t="str">
        <x:v>S001 S003</x:v>
      </x:c>
      <x:c r="I14" s="15" t="str">
        <x:v>https://www.legresumes.com/
https://www.trustpilot.com/review/www.letseatgrandma.com</x:v>
      </x:c>
      <x:c r="J14" s="15" t="str">
        <x:v>INFERRED editorial judgment; underlying source classifications retained</x:v>
      </x:c>
    </x:row>
    <x:row r="15" ht="112" customHeight="1">
      <x:c r="A15" s="15" t="str">
        <x:v>C02</x:v>
      </x:c>
      <x:c r="B15" s="15" t="str">
        <x:v>Find My Profession</x:v>
      </x:c>
      <x:c r="C15" s="15" t="str">
        <x:v>Credible customer feedback</x:v>
      </x:c>
      <x:c r="D15" s="36" t="n">
        <x:f>Rubric!C$6</x:f>
        <x:v>20</x:v>
      </x:c>
      <x:c r="E15" s="38" t="n">
        <x:f>'Score Inputs'!C7</x:f>
        <x:v>8.5</x:v>
      </x:c>
      <x:c r="F15" s="34" t="n">
        <x:f>D15*E15/Rubric!$B$8</x:f>
        <x:v>17</x:v>
      </x:c>
      <x:c r="G15" s="15" t="str">
        <x:v>Broad independent feedback supports responsiveness and positive writing experiences; recruiting-only accounts are excluded from résumé judgments.</x:v>
      </x:c>
      <x:c r="H15" s="15" t="str">
        <x:v>S123</x:v>
      </x:c>
      <x:c r="I15" s="15" t="str">
        <x:v>https://www.trustpilot.com/review/www.findmyprofession.com</x:v>
      </x:c>
      <x:c r="J15" s="15" t="str">
        <x:v>INFERRED editorial judgment; underlying source classifications retained</x:v>
      </x:c>
    </x:row>
    <x:row r="16" ht="112" customHeight="1">
      <x:c r="A16" s="15" t="str">
        <x:v>C02</x:v>
      </x:c>
      <x:c r="B16" s="15" t="str">
        <x:v>Find My Profession</x:v>
      </x:c>
      <x:c r="C16" s="15" t="str">
        <x:v>Documented results and track record</x:v>
      </x:c>
      <x:c r="D16" s="36" t="n">
        <x:f>Rubric!D$6</x:f>
        <x:v>15</x:v>
      </x:c>
      <x:c r="E16" s="38" t="n">
        <x:f>'Score Inputs'!D7</x:f>
        <x:v>7.5</x:v>
      </x:c>
      <x:c r="F16" s="34" t="n">
        <x:f>D16*E16/Rubric!$B$8</x:f>
        <x:v>11.25</x:v>
      </x:c>
      <x:c r="G16" s="15" t="str">
        <x:v>Specific interviews and offers support a useful track record, but many accounts combine writing with recruiting or coaching.</x:v>
      </x:c>
      <x:c r="H16" s="15" t="str">
        <x:v>S123</x:v>
      </x:c>
      <x:c r="I16" s="15" t="str">
        <x:v>https://www.trustpilot.com/review/www.findmyprofession.com</x:v>
      </x:c>
      <x:c r="J16" s="15" t="str">
        <x:v>INFERRED editorial judgment; underlying source classifications retained</x:v>
      </x:c>
    </x:row>
    <x:row r="17" ht="112" customHeight="1">
      <x:c r="A17" s="15" t="str">
        <x:v>C02</x:v>
      </x:c>
      <x:c r="B17" s="15" t="str">
        <x:v>Find My Profession</x:v>
      </x:c>
      <x:c r="C17" s="15" t="str">
        <x:v>Pricing, value and transparency</x:v>
      </x:c>
      <x:c r="D17" s="36" t="n">
        <x:f>Rubric!E$6</x:f>
        <x:v>15</x:v>
      </x:c>
      <x:c r="E17" s="38" t="n">
        <x:f>'Score Inputs'!E7</x:f>
        <x:v>8</x:v>
      </x:c>
      <x:c r="F17" s="34" t="n">
        <x:f>D17*E17/Rubric!$B$8</x:f>
        <x:v>12</x:v>
      </x:c>
      <x:c r="G17" s="15" t="str">
        <x:v>Professional package and component prices are clear; the fuller document combination costs more than some comparable options.</x:v>
      </x:c>
      <x:c r="H17" s="15" t="str">
        <x:v>S005</x:v>
      </x:c>
      <x:c r="I17" s="15" t="str">
        <x:v>https://www.findmyprofession.com/resume-writing/professional/</x:v>
      </x:c>
      <x:c r="J17" s="15" t="str">
        <x:v>INFERRED editorial judgment; underlying source classifications retained</x:v>
      </x:c>
    </x:row>
    <x:row r="18" ht="112" customHeight="1">
      <x:c r="A18" s="15" t="str">
        <x:v>C02</x:v>
      </x:c>
      <x:c r="B18" s="15" t="str">
        <x:v>Find My Profession</x:v>
      </x:c>
      <x:c r="C18" s="15" t="str">
        <x:v>Service depth and personalization</x:v>
      </x:c>
      <x:c r="D18" s="36" t="n">
        <x:f>Rubric!F$6</x:f>
        <x:v>10</x:v>
      </x:c>
      <x:c r="E18" s="38" t="n">
        <x:f>'Score Inputs'!F7</x:f>
        <x:v>8.5</x:v>
      </x:c>
      <x:c r="F18" s="34" t="n">
        <x:f>D18*E18/Rubric!$B$8</x:f>
        <x:v>8.5</x:v>
      </x:c>
      <x:c r="G18" s="15" t="str">
        <x:v>A consultation, direct assigned-writer access and targeted documents provide substantial customization.</x:v>
      </x:c>
      <x:c r="H18" s="15" t="str">
        <x:v>S005</x:v>
      </x:c>
      <x:c r="I18" s="15" t="str">
        <x:v>https://www.findmyprofession.com/resume-writing/professional/</x:v>
      </x:c>
      <x:c r="J18" s="15" t="str">
        <x:v>INFERRED editorial judgment; underlying source classifications retained</x:v>
      </x:c>
    </x:row>
    <x:row r="19" ht="112" customHeight="1">
      <x:c r="A19" s="15" t="str">
        <x:v>C02</x:v>
      </x:c>
      <x:c r="B19" s="15" t="str">
        <x:v>Find My Profession</x:v>
      </x:c>
      <x:c r="C19" s="15" t="str">
        <x:v>Writer qualifications and credentials</x:v>
      </x:c>
      <x:c r="D19" s="36" t="n">
        <x:f>Rubric!G$6</x:f>
        <x:v>10</x:v>
      </x:c>
      <x:c r="E19" s="38" t="n">
        <x:f>'Score Inputs'!G7</x:f>
        <x:v>8</x:v>
      </x:c>
      <x:c r="F19" s="34" t="n">
        <x:f>D19*E19/Rubric!$B$8</x:f>
        <x:v>8</x:v>
      </x:c>
      <x:c r="G19" s="15" t="str">
        <x:v>A specialist writer roster and disclosed expertise support a strong rating; the purchaser-specific credential is not confirmed.</x:v>
      </x:c>
      <x:c r="H19" s="15" t="str">
        <x:v>S005</x:v>
      </x:c>
      <x:c r="I19" s="15" t="str">
        <x:v>https://www.findmyprofession.com/resume-writing/professional/</x:v>
      </x:c>
      <x:c r="J19" s="15" t="str">
        <x:v>INFERRED editorial judgment; underlying source classifications retained</x:v>
      </x:c>
    </x:row>
    <x:row r="20" ht="112" customHeight="1">
      <x:c r="A20" s="15" t="str">
        <x:v>C02</x:v>
      </x:c>
      <x:c r="B20" s="15" t="str">
        <x:v>Find My Profession</x:v>
      </x:c>
      <x:c r="C20" s="15" t="str">
        <x:v>Quality standards and commitment</x:v>
      </x:c>
      <x:c r="D20" s="36" t="n">
        <x:f>Rubric!H$6</x:f>
        <x:v>10</x:v>
      </x:c>
      <x:c r="E20" s="38" t="n">
        <x:f>'Score Inputs'!H7</x:f>
        <x:v>8.5</x:v>
      </x:c>
      <x:c r="F20" s="34" t="n">
        <x:f>D20*E20/Rubric!$B$8</x:f>
        <x:v>8.5</x:v>
      </x:c>
      <x:c r="G20" s="15" t="str">
        <x:v>The inspected program-manager example connects business scope with outcomes; dense passages are its principal visible weakness.</x:v>
      </x:c>
      <x:c r="H20" s="15" t="str">
        <x:v>S007 S008</x:v>
      </x:c>
      <x:c r="I20" s="15" t="str">
        <x:v>https://www.findmyprofession.com/wp-content/uploads/2024/06/Pro-Program-Manager.png
https://www.findmyprofession.com/wp-content/uploads/2024/06/Pro-Program-Manager-2.png</x:v>
      </x:c>
      <x:c r="J20" s="15" t="str">
        <x:v>INFERRED editorial judgment; underlying source classifications retained</x:v>
      </x:c>
    </x:row>
    <x:row r="21" ht="112" customHeight="1">
      <x:c r="A21" s="15" t="str">
        <x:v>C02</x:v>
      </x:c>
      <x:c r="B21" s="15" t="str">
        <x:v>Find My Profession</x:v>
      </x:c>
      <x:c r="C21" s="15" t="str">
        <x:v>Serious complaints and resolution</x:v>
      </x:c>
      <x:c r="D21" s="36" t="n">
        <x:f>Rubric!I$6</x:f>
        <x:v>10</x:v>
      </x:c>
      <x:c r="E21" s="38" t="n">
        <x:f>'Score Inputs'!I7</x:f>
        <x:v>8</x:v>
      </x:c>
      <x:c r="F21" s="34" t="n">
        <x:f>D21*E21/Rubric!$B$8</x:f>
        <x:v>8</x:v>
      </x:c>
      <x:c r="G21" s="15" t="str">
        <x:v>Published revision access supports recovery; the reviewed BBB cases must not all be treated as résumé-writing failures.</x:v>
      </x:c>
      <x:c r="H21" s="15" t="str">
        <x:v>S005 S009</x:v>
      </x:c>
      <x:c r="I21" s="15" t="str">
        <x:v>https://www.findmyprofession.com/resume-writing/professional/
https://www.bbb.org/us/co/golden/profile/resume-services/find-my-profession-inc-1296-90260468/complaints</x:v>
      </x:c>
      <x:c r="J21" s="15" t="str">
        <x:v>INFERRED editorial judgment; underlying source classifications retained</x:v>
      </x:c>
    </x:row>
    <x:row r="22" ht="112" customHeight="1">
      <x:c r="A22" s="15" t="str">
        <x:v>C02</x:v>
      </x:c>
      <x:c r="B22" s="15" t="str">
        <x:v>Find My Profession</x:v>
      </x:c>
      <x:c r="C22" s="15" t="str">
        <x:v>History and stability</x:v>
      </x:c>
      <x:c r="D22" s="36" t="n">
        <x:f>Rubric!J$6</x:f>
        <x:v>5</x:v>
      </x:c>
      <x:c r="E22" s="38" t="n">
        <x:f>'Score Inputs'!J7</x:f>
        <x:v>7.5</x:v>
      </x:c>
      <x:c r="F22" s="34" t="n">
        <x:f>D22*E22/Rubric!$B$8</x:f>
        <x:v>3.75</x:v>
      </x:c>
      <x:c r="G22" s="15" t="str">
        <x:v>A sustained active offer and established customer history support stability without an assumed multi-decade tenure.</x:v>
      </x:c>
      <x:c r="H22" s="15" t="str">
        <x:v>S005 S123</x:v>
      </x:c>
      <x:c r="I22" s="15" t="str">
        <x:v>https://www.findmyprofession.com/resume-writing/professional/
https://www.trustpilot.com/review/www.findmyprofession.com</x:v>
      </x:c>
      <x:c r="J22" s="15" t="str">
        <x:v>INFERRED editorial judgment; underlying source classifications retained</x:v>
      </x:c>
    </x:row>
    <x:row r="23" ht="112" customHeight="1">
      <x:c r="A23" s="15" t="str">
        <x:v>C02</x:v>
      </x:c>
      <x:c r="B23" s="15" t="str">
        <x:v>Find My Profession</x:v>
      </x:c>
      <x:c r="C23" s="15" t="str">
        <x:v>Independently supported professional reputation</x:v>
      </x:c>
      <x:c r="D23" s="36" t="n">
        <x:f>Rubric!K$6</x:f>
        <x:v>5</x:v>
      </x:c>
      <x:c r="E23" s="38" t="n">
        <x:f>'Score Inputs'!K7</x:f>
        <x:v>7.5</x:v>
      </x:c>
      <x:c r="F23" s="34" t="n">
        <x:f>D23*E23/Rubric!$B$8</x:f>
        <x:v>3.75</x:v>
      </x:c>
      <x:c r="G23" s="15" t="str">
        <x:v>Professional visibility is credible; its own competitor rankings and recruiting success do not establish independent writing supremacy.</x:v>
      </x:c>
      <x:c r="H23" s="15" t="str">
        <x:v>S005 S009</x:v>
      </x:c>
      <x:c r="I23" s="15" t="str">
        <x:v>https://www.findmyprofession.com/resume-writing/professional/
https://www.bbb.org/us/co/golden/profile/resume-services/find-my-profession-inc-1296-90260468/complaints</x:v>
      </x:c>
      <x:c r="J23" s="15" t="str">
        <x:v>INFERRED editorial judgment; underlying source classifications retained</x:v>
      </x:c>
    </x:row>
    <x:row r="24" ht="112" customHeight="1">
      <x:c r="A24" s="15" t="str">
        <x:v>C03</x:v>
      </x:c>
      <x:c r="B24" s="15" t="str">
        <x:v>TopStack Resume</x:v>
      </x:c>
      <x:c r="C24" s="15" t="str">
        <x:v>Credible customer feedback</x:v>
      </x:c>
      <x:c r="D24" s="36" t="n">
        <x:f>Rubric!C$6</x:f>
        <x:v>20</x:v>
      </x:c>
      <x:c r="E24" s="38" t="n">
        <x:f>'Score Inputs'!C8</x:f>
        <x:v>8.5</x:v>
      </x:c>
      <x:c r="F24" s="34" t="n">
        <x:f>D24*E24/Rubric!$B$8</x:f>
        <x:v>17</x:v>
      </x:c>
      <x:c r="G24" s="15" t="str">
        <x:v>Recent named accounts corroborate responsive writing support; large review volume alone receives no bonus.</x:v>
      </x:c>
      <x:c r="H24" s="15" t="str">
        <x:v>S108</x:v>
      </x:c>
      <x:c r="I24" s="15" t="str">
        <x:v>https://www.trustpilot.com/review/topstackresume.com</x:v>
      </x:c>
      <x:c r="J24" s="15" t="str">
        <x:v>INFERRED editorial judgment; underlying source classifications retained</x:v>
      </x:c>
    </x:row>
    <x:row r="25" ht="112" customHeight="1">
      <x:c r="A25" s="15" t="str">
        <x:v>C03</x:v>
      </x:c>
      <x:c r="B25" s="15" t="str">
        <x:v>TopStack Resume</x:v>
      </x:c>
      <x:c r="C25" s="15" t="str">
        <x:v>Documented results and track record</x:v>
      </x:c>
      <x:c r="D25" s="36" t="n">
        <x:f>Rubric!D$6</x:f>
        <x:v>15</x:v>
      </x:c>
      <x:c r="E25" s="38" t="n">
        <x:f>'Score Inputs'!D8</x:f>
        <x:v>7</x:v>
      </x:c>
      <x:c r="F25" s="34" t="n">
        <x:f>D25*E25/Rubric!$B$8</x:f>
        <x:v>10.5</x:v>
      </x:c>
      <x:c r="G25" s="15" t="str">
        <x:v>Interview and hiring accounts provide evidence of individual benefit, without a résumé-only measured success rate.</x:v>
      </x:c>
      <x:c r="H25" s="15" t="str">
        <x:v>S108 S011</x:v>
      </x:c>
      <x:c r="I25" s="15" t="str">
        <x:v>https://www.trustpilot.com/review/topstackresume.com
https://www.topstackresume.com/refunds</x:v>
      </x:c>
      <x:c r="J25" s="15" t="str">
        <x:v>INFERRED editorial judgment; underlying source classifications retained</x:v>
      </x:c>
    </x:row>
    <x:row r="26" ht="112" customHeight="1">
      <x:c r="A26" s="15" t="str">
        <x:v>C03</x:v>
      </x:c>
      <x:c r="B26" s="15" t="str">
        <x:v>TopStack Resume</x:v>
      </x:c>
      <x:c r="C26" s="15" t="str">
        <x:v>Pricing, value and transparency</x:v>
      </x:c>
      <x:c r="D26" s="36" t="n">
        <x:f>Rubric!E$6</x:f>
        <x:v>15</x:v>
      </x:c>
      <x:c r="E26" s="38" t="n">
        <x:f>'Score Inputs'!E8</x:f>
        <x:v>9</x:v>
      </x:c>
      <x:c r="F26" s="34" t="n">
        <x:f>D26*E26/Rubric!$B$8</x:f>
        <x:v>13.5</x:v>
      </x:c>
      <x:c r="G26" s="15" t="str">
        <x:v>Low published bundle pricing plus an inexpensive optional consultation and draft preview create a strong access/value case.</x:v>
      </x:c>
      <x:c r="H26" s="15" t="str">
        <x:v>S010</x:v>
      </x:c>
      <x:c r="I26" s="15" t="str">
        <x:v>https://www.topstackresume.com/pricing</x:v>
      </x:c>
      <x:c r="J26" s="15" t="str">
        <x:v>INFERRED editorial judgment; underlying source classifications retained</x:v>
      </x:c>
    </x:row>
    <x:row r="27" ht="112" customHeight="1">
      <x:c r="A27" s="15" t="str">
        <x:v>C03</x:v>
      </x:c>
      <x:c r="B27" s="15" t="str">
        <x:v>TopStack Resume</x:v>
      </x:c>
      <x:c r="C27" s="15" t="str">
        <x:v>Service depth and personalization</x:v>
      </x:c>
      <x:c r="D27" s="36" t="n">
        <x:f>Rubric!F$6</x:f>
        <x:v>10</x:v>
      </x:c>
      <x:c r="E27" s="38" t="n">
        <x:f>'Score Inputs'!F8</x:f>
        <x:v>7.5</x:v>
      </x:c>
      <x:c r="F27" s="34" t="n">
        <x:f>D27*E27/Rubric!$B$8</x:f>
        <x:v>7.5</x:v>
      </x:c>
      <x:c r="G27" s="15" t="str">
        <x:v>Direct correspondence supports customization, but live discovery is an add-on and scope is less intensive than premium engagements.</x:v>
      </x:c>
      <x:c r="H27" s="15" t="str">
        <x:v>S010</x:v>
      </x:c>
      <x:c r="I27" s="15" t="str">
        <x:v>https://www.topstackresume.com/pricing</x:v>
      </x:c>
      <x:c r="J27" s="15" t="str">
        <x:v>INFERRED editorial judgment; underlying source classifications retained</x:v>
      </x:c>
    </x:row>
    <x:row r="28" ht="112" customHeight="1">
      <x:c r="A28" s="15" t="str">
        <x:v>C03</x:v>
      </x:c>
      <x:c r="B28" s="15" t="str">
        <x:v>TopStack Resume</x:v>
      </x:c>
      <x:c r="C28" s="15" t="str">
        <x:v>Writer qualifications and credentials</x:v>
      </x:c>
      <x:c r="D28" s="36" t="n">
        <x:f>Rubric!G$6</x:f>
        <x:v>10</x:v>
      </x:c>
      <x:c r="E28" s="38" t="n">
        <x:f>'Score Inputs'!G8</x:f>
        <x:v>6.5</x:v>
      </x:c>
      <x:c r="F28" s="34" t="n">
        <x:f>D28*E28/Rubric!$B$8</x:f>
        <x:v>6.5</x:v>
      </x:c>
      <x:c r="G28" s="15" t="str">
        <x:v>Hiring requires experience and samples; certification is preferred, not mandatory, and the assigned writer remains unidentified before purchase.</x:v>
      </x:c>
      <x:c r="H28" s="15" t="str">
        <x:v>S012</x:v>
      </x:c>
      <x:c r="I28" s="15" t="str">
        <x:v>https://jobs.gusto.com/postings/topstack-resume-resume-writer-part-time-and-full-time-positions-available-6ebb6cac-c3e8-4886-a092-fcef783e62e3</x:v>
      </x:c>
      <x:c r="J28" s="15" t="str">
        <x:v>INFERRED editorial judgment; underlying source classifications retained</x:v>
      </x:c>
    </x:row>
    <x:row r="29" ht="112" customHeight="1">
      <x:c r="A29" s="15" t="str">
        <x:v>C03</x:v>
      </x:c>
      <x:c r="B29" s="15" t="str">
        <x:v>TopStack Resume</x:v>
      </x:c>
      <x:c r="C29" s="15" t="str">
        <x:v>Quality standards and commitment</x:v>
      </x:c>
      <x:c r="D29" s="36" t="n">
        <x:f>Rubric!H$6</x:f>
        <x:v>10</x:v>
      </x:c>
      <x:c r="E29" s="38" t="n">
        <x:f>'Score Inputs'!H8</x:f>
        <x:v>7.5</x:v>
      </x:c>
      <x:c r="F29" s="34" t="n">
        <x:f>D29*E29/Rubric!$B$8</x:f>
        <x:v>7.5</x:v>
      </x:c>
      <x:c r="G29" s="15" t="str">
        <x:v>Customer descriptions and draft review support capable delivery; direct full-document craft comparison is unavailable.</x:v>
      </x:c>
      <x:c r="H29" s="15" t="str">
        <x:v>S010 S108</x:v>
      </x:c>
      <x:c r="I29" s="15" t="str">
        <x:v>https://www.topstackresume.com/pricing
https://www.trustpilot.com/review/topstackresume.com</x:v>
      </x:c>
      <x:c r="J29" s="15" t="str">
        <x:v>INFERRED editorial judgment; underlying source classifications retained</x:v>
      </x:c>
    </x:row>
    <x:row r="30" ht="112" customHeight="1">
      <x:c r="A30" s="15" t="str">
        <x:v>C03</x:v>
      </x:c>
      <x:c r="B30" s="15" t="str">
        <x:v>TopStack Resume</x:v>
      </x:c>
      <x:c r="C30" s="15" t="str">
        <x:v>Serious complaints and resolution</x:v>
      </x:c>
      <x:c r="D30" s="36" t="n">
        <x:f>Rubric!I$6</x:f>
        <x:v>10</x:v>
      </x:c>
      <x:c r="E30" s="38" t="n">
        <x:f>'Score Inputs'!I8</x:f>
        <x:v>7.5</x:v>
      </x:c>
      <x:c r="F30" s="34" t="n">
        <x:f>D30*E30/Rubric!$B$8</x:f>
        <x:v>7.5</x:v>
      </x:c>
      <x:c r="G30" s="15" t="str">
        <x:v>Preview reduces initial commitment risk; completed services are generally nonrefundable and some BBB disputes concern separate recruiting.</x:v>
      </x:c>
      <x:c r="H30" s="15" t="str">
        <x:v>S011 S013</x:v>
      </x:c>
      <x:c r="I30" s="15" t="str">
        <x:v>https://www.topstackresume.com/refunds
https://www.bbb.org/us/nc/chapel-hill/profile/resume-services/topstack-resume-0593-90320403/complaints</x:v>
      </x:c>
      <x:c r="J30" s="15" t="str">
        <x:v>INFERRED editorial judgment; underlying source classifications retained</x:v>
      </x:c>
    </x:row>
    <x:row r="31" ht="112" customHeight="1">
      <x:c r="A31" s="15" t="str">
        <x:v>C03</x:v>
      </x:c>
      <x:c r="B31" s="15" t="str">
        <x:v>TopStack Resume</x:v>
      </x:c>
      <x:c r="C31" s="15" t="str">
        <x:v>History and stability</x:v>
      </x:c>
      <x:c r="D31" s="36" t="n">
        <x:f>Rubric!J$6</x:f>
        <x:v>5</x:v>
      </x:c>
      <x:c r="E31" s="38" t="n">
        <x:f>'Score Inputs'!J8</x:f>
        <x:v>7</x:v>
      </x:c>
      <x:c r="F31" s="34" t="n">
        <x:f>D31*E31/Rubric!$B$8</x:f>
        <x:v>3.5</x:v>
      </x:c>
      <x:c r="G31" s="15" t="str">
        <x:v>Active operations and a multi-year public customer record support continuity; depth of long-term practice evidence is more limited.</x:v>
      </x:c>
      <x:c r="H31" s="15" t="str">
        <x:v>S013 S108</x:v>
      </x:c>
      <x:c r="I31" s="15" t="str">
        <x:v>https://www.bbb.org/us/nc/chapel-hill/profile/resume-services/topstack-resume-0593-90320403/complaints
https://www.trustpilot.com/review/topstackresume.com</x:v>
      </x:c>
      <x:c r="J31" s="15" t="str">
        <x:v>INFERRED editorial judgment; underlying source classifications retained</x:v>
      </x:c>
    </x:row>
    <x:row r="32" ht="112" customHeight="1">
      <x:c r="A32" s="15" t="str">
        <x:v>C03</x:v>
      </x:c>
      <x:c r="B32" s="15" t="str">
        <x:v>TopStack Resume</x:v>
      </x:c>
      <x:c r="C32" s="15" t="str">
        <x:v>Independently supported professional reputation</x:v>
      </x:c>
      <x:c r="D32" s="36" t="n">
        <x:f>Rubric!K$6</x:f>
        <x:v>5</x:v>
      </x:c>
      <x:c r="E32" s="38" t="n">
        <x:f>'Score Inputs'!K8</x:f>
        <x:v>6.5</x:v>
      </x:c>
      <x:c r="F32" s="34" t="n">
        <x:f>D32*E32/Rubric!$B$8</x:f>
        <x:v>3.25</x:v>
      </x:c>
      <x:c r="G32" s="15" t="str">
        <x:v>A credible market presence is evident; comparable external professional recognition is less developed in the examined record.</x:v>
      </x:c>
      <x:c r="H32" s="15" t="str">
        <x:v>S012 S108</x:v>
      </x:c>
      <x:c r="I32" s="15" t="str">
        <x:v>https://jobs.gusto.com/postings/topstack-resume-resume-writer-part-time-and-full-time-positions-available-6ebb6cac-c3e8-4886-a092-fcef783e62e3
https://www.trustpilot.com/review/topstackresume.com</x:v>
      </x:c>
      <x:c r="J32" s="15" t="str">
        <x:v>INFERRED editorial judgment; underlying source classifications retained</x:v>
      </x:c>
    </x:row>
    <x:row r="33" ht="112" customHeight="1">
      <x:c r="A33" s="15" t="str">
        <x:v>C04</x:v>
      </x:c>
      <x:c r="B33" s="15" t="str">
        <x:v>Resumeble</x:v>
      </x:c>
      <x:c r="C33" s="15" t="str">
        <x:v>Credible customer feedback</x:v>
      </x:c>
      <x:c r="D33" s="36" t="n">
        <x:f>Rubric!C$6</x:f>
        <x:v>20</x:v>
      </x:c>
      <x:c r="E33" s="38" t="n">
        <x:f>'Score Inputs'!C9</x:f>
        <x:v>8</x:v>
      </x:c>
      <x:c r="F33" s="34" t="n">
        <x:f>D33*E33/Rubric!$B$8</x:f>
        <x:v>16</x:v>
      </x:c>
      <x:c r="G33" s="15" t="str">
        <x:v>A substantial independent review record supports attentive service; errors and generic-writing criticisms prevent an exceptional rating.</x:v>
      </x:c>
      <x:c r="H33" s="15" t="str">
        <x:v>S017</x:v>
      </x:c>
      <x:c r="I33" s="15" t="str">
        <x:v>https://www.trustpilot.com/review/www.resumeble.com</x:v>
      </x:c>
      <x:c r="J33" s="15" t="str">
        <x:v>INFERRED editorial judgment; underlying source classifications retained</x:v>
      </x:c>
    </x:row>
    <x:row r="34" ht="112" customHeight="1">
      <x:c r="A34" s="15" t="str">
        <x:v>C04</x:v>
      </x:c>
      <x:c r="B34" s="15" t="str">
        <x:v>Resumeble</x:v>
      </x:c>
      <x:c r="C34" s="15" t="str">
        <x:v>Documented results and track record</x:v>
      </x:c>
      <x:c r="D34" s="36" t="n">
        <x:f>Rubric!D$6</x:f>
        <x:v>15</x:v>
      </x:c>
      <x:c r="E34" s="38" t="n">
        <x:f>'Score Inputs'!D9</x:f>
        <x:v>7</x:v>
      </x:c>
      <x:c r="F34" s="34" t="n">
        <x:f>D34*E34/Rubric!$B$8</x:f>
        <x:v>10.5</x:v>
      </x:c>
      <x:c r="G34" s="15" t="str">
        <x:v>Individual outcome accounts earn credit; the advertised aggregate interview percentage is not treated as measured performance.</x:v>
      </x:c>
      <x:c r="H34" s="15" t="str">
        <x:v>S017 S014</x:v>
      </x:c>
      <x:c r="I34" s="15" t="str">
        <x:v>https://www.trustpilot.com/review/www.resumeble.com
https://www.resumeble.com/resume-packages</x:v>
      </x:c>
      <x:c r="J34" s="15" t="str">
        <x:v>INFERRED editorial judgment; underlying source classifications retained</x:v>
      </x:c>
    </x:row>
    <x:row r="35" ht="112" customHeight="1">
      <x:c r="A35" s="15" t="str">
        <x:v>C04</x:v>
      </x:c>
      <x:c r="B35" s="15" t="str">
        <x:v>Resumeble</x:v>
      </x:c>
      <x:c r="C35" s="15" t="str">
        <x:v>Pricing, value and transparency</x:v>
      </x:c>
      <x:c r="D35" s="36" t="n">
        <x:f>Rubric!E$6</x:f>
        <x:v>15</x:v>
      </x:c>
      <x:c r="E35" s="38" t="n">
        <x:f>'Score Inputs'!E9</x:f>
        <x:v>8.5</x:v>
      </x:c>
      <x:c r="F35" s="34" t="n">
        <x:f>D35*E35/Rubric!$B$8</x:f>
        <x:v>12.75</x:v>
      </x:c>
      <x:c r="G35" s="15" t="str">
        <x:v>Published document bundles are accessible and reasonably complete for their price; lower-tier live consultation scope is less clear.</x:v>
      </x:c>
      <x:c r="H35" s="15" t="str">
        <x:v>S014 S016</x:v>
      </x:c>
      <x:c r="I35" s="15" t="str">
        <x:v>https://www.resumeble.com/resume-packages
https://www.resumeble.com/terms-condition</x:v>
      </x:c>
      <x:c r="J35" s="15" t="str">
        <x:v>INFERRED editorial judgment; underlying source classifications retained</x:v>
      </x:c>
    </x:row>
    <x:row r="36" ht="112" customHeight="1">
      <x:c r="A36" s="15" t="str">
        <x:v>C04</x:v>
      </x:c>
      <x:c r="B36" s="15" t="str">
        <x:v>Resumeble</x:v>
      </x:c>
      <x:c r="C36" s="15" t="str">
        <x:v>Service depth and personalization</x:v>
      </x:c>
      <x:c r="D36" s="36" t="n">
        <x:f>Rubric!F$6</x:f>
        <x:v>10</x:v>
      </x:c>
      <x:c r="E36" s="38" t="n">
        <x:f>'Score Inputs'!F9</x:f>
        <x:v>7.5</x:v>
      </x:c>
      <x:c r="F36" s="34" t="n">
        <x:f>D36*E36/Rubric!$B$8</x:f>
        <x:v>7.5</x:v>
      </x:c>
      <x:c r="G36" s="15" t="str">
        <x:v>Assigned-writer contact and revision access support personalization; the depth of live discovery varies or is unclear.</x:v>
      </x:c>
      <x:c r="H36" s="15" t="str">
        <x:v>S014</x:v>
      </x:c>
      <x:c r="I36" s="15" t="str">
        <x:v>https://www.resumeble.com/resume-packages</x:v>
      </x:c>
      <x:c r="J36" s="15" t="str">
        <x:v>INFERRED editorial judgment; underlying source classifications retained</x:v>
      </x:c>
    </x:row>
    <x:row r="37" ht="112" customHeight="1">
      <x:c r="A37" s="15" t="str">
        <x:v>C04</x:v>
      </x:c>
      <x:c r="B37" s="15" t="str">
        <x:v>Resumeble</x:v>
      </x:c>
      <x:c r="C37" s="15" t="str">
        <x:v>Writer qualifications and credentials</x:v>
      </x:c>
      <x:c r="D37" s="36" t="n">
        <x:f>Rubric!G$6</x:f>
        <x:v>10</x:v>
      </x:c>
      <x:c r="E37" s="38" t="n">
        <x:f>'Score Inputs'!G9</x:f>
        <x:v>6.5</x:v>
      </x:c>
      <x:c r="F37" s="34" t="n">
        <x:f>D37*E37/Rubric!$B$8</x:f>
        <x:v>6.5</x:v>
      </x:c>
      <x:c r="G37" s="15" t="str">
        <x:v>The roster describes certified writers, but abbreviated biographies limit issuer matching and assigned-writer accountability.</x:v>
      </x:c>
      <x:c r="H37" s="15" t="str">
        <x:v>S015</x:v>
      </x:c>
      <x:c r="I37" s="15" t="str">
        <x:v>https://www.resumeble.com/our-writers</x:v>
      </x:c>
      <x:c r="J37" s="15" t="str">
        <x:v>INFERRED editorial judgment; underlying source classifications retained</x:v>
      </x:c>
    </x:row>
    <x:row r="38" ht="112" customHeight="1">
      <x:c r="A38" s="15" t="str">
        <x:v>C04</x:v>
      </x:c>
      <x:c r="B38" s="15" t="str">
        <x:v>Resumeble</x:v>
      </x:c>
      <x:c r="C38" s="15" t="str">
        <x:v>Quality standards and commitment</x:v>
      </x:c>
      <x:c r="D38" s="36" t="n">
        <x:f>Rubric!H$6</x:f>
        <x:v>10</x:v>
      </x:c>
      <x:c r="E38" s="38" t="n">
        <x:f>'Score Inputs'!H9</x:f>
        <x:v>7</x:v>
      </x:c>
      <x:c r="F38" s="34" t="n">
        <x:f>D38*E38/Rubric!$B$8</x:f>
        <x:v>7</x:v>
      </x:c>
      <x:c r="G38" s="15" t="str">
        <x:v>The inspected accounting example includes useful outcomes alongside generic duty language and inefficient second-page use.</x:v>
      </x:c>
      <x:c r="H38" s="15" t="str">
        <x:v>S018 S019</x:v>
      </x:c>
      <x:c r="I38" s="15" t="str">
        <x:v>https://www.resumeble.com/images/sample-resume/finance.jpg
https://www.resumeble.com/images/sample-resume/finance-2.png</x:v>
      </x:c>
      <x:c r="J38" s="15" t="str">
        <x:v>INFERRED editorial judgment; underlying source classifications retained</x:v>
      </x:c>
    </x:row>
    <x:row r="39" ht="112" customHeight="1">
      <x:c r="A39" s="15" t="str">
        <x:v>C04</x:v>
      </x:c>
      <x:c r="B39" s="15" t="str">
        <x:v>Resumeble</x:v>
      </x:c>
      <x:c r="C39" s="15" t="str">
        <x:v>Serious complaints and resolution</x:v>
      </x:c>
      <x:c r="D39" s="36" t="n">
        <x:f>Rubric!I$6</x:f>
        <x:v>10</x:v>
      </x:c>
      <x:c r="E39" s="38" t="n">
        <x:f>'Score Inputs'!I9</x:f>
        <x:v>7.5</x:v>
      </x:c>
      <x:c r="F39" s="34" t="n">
        <x:f>D39*E39/Rubric!$B$8</x:f>
        <x:v>7.5</x:v>
      </x:c>
      <x:c r="G39" s="15" t="str">
        <x:v>Revision and conditional executive remedies are meaningful; they are not universal cash refunds.</x:v>
      </x:c>
      <x:c r="H39" s="15" t="str">
        <x:v>S016 S017</x:v>
      </x:c>
      <x:c r="I39" s="15" t="str">
        <x:v>https://www.resumeble.com/terms-condition
https://www.trustpilot.com/review/www.resumeble.com</x:v>
      </x:c>
      <x:c r="J39" s="15" t="str">
        <x:v>INFERRED editorial judgment; underlying source classifications retained</x:v>
      </x:c>
    </x:row>
    <x:row r="40" ht="112" customHeight="1">
      <x:c r="A40" s="15" t="str">
        <x:v>C04</x:v>
      </x:c>
      <x:c r="B40" s="15" t="str">
        <x:v>Resumeble</x:v>
      </x:c>
      <x:c r="C40" s="15" t="str">
        <x:v>History and stability</x:v>
      </x:c>
      <x:c r="D40" s="36" t="n">
        <x:f>Rubric!J$6</x:f>
        <x:v>5</x:v>
      </x:c>
      <x:c r="E40" s="38" t="n">
        <x:f>'Score Inputs'!J9</x:f>
        <x:v>7</x:v>
      </x:c>
      <x:c r="F40" s="34" t="n">
        <x:f>D40*E40/Rubric!$B$8</x:f>
        <x:v>3.5</x:v>
      </x:c>
      <x:c r="G40" s="15" t="str">
        <x:v>The current service and sustained review footprint support an established practice rather than demonstrated decades of continuity.</x:v>
      </x:c>
      <x:c r="H40" s="15" t="str">
        <x:v>S014 S017</x:v>
      </x:c>
      <x:c r="I40" s="15" t="str">
        <x:v>https://www.resumeble.com/resume-packages
https://www.trustpilot.com/review/www.resumeble.com</x:v>
      </x:c>
      <x:c r="J40" s="15" t="str">
        <x:v>INFERRED editorial judgment; underlying source classifications retained</x:v>
      </x:c>
    </x:row>
    <x:row r="41" ht="112" customHeight="1">
      <x:c r="A41" s="15" t="str">
        <x:v>C04</x:v>
      </x:c>
      <x:c r="B41" s="15" t="str">
        <x:v>Resumeble</x:v>
      </x:c>
      <x:c r="C41" s="15" t="str">
        <x:v>Independently supported professional reputation</x:v>
      </x:c>
      <x:c r="D41" s="36" t="n">
        <x:f>Rubric!K$6</x:f>
        <x:v>5</x:v>
      </x:c>
      <x:c r="E41" s="38" t="n">
        <x:f>'Score Inputs'!K9</x:f>
        <x:v>6.5</x:v>
      </x:c>
      <x:c r="F41" s="34" t="n">
        <x:f>D41*E41/Rubric!$B$8</x:f>
        <x:v>3.25</x:v>
      </x:c>
      <x:c r="G41" s="15" t="str">
        <x:v>Public visibility is established, but independent professional-contribution evidence is comparatively limited.</x:v>
      </x:c>
      <x:c r="H41" s="15" t="str">
        <x:v>S015 S017</x:v>
      </x:c>
      <x:c r="I41" s="15" t="str">
        <x:v>https://www.resumeble.com/our-writers
https://www.trustpilot.com/review/www.resumeble.com</x:v>
      </x:c>
      <x:c r="J41" s="15" t="str">
        <x:v>INFERRED editorial judgment; underlying source classifications retained</x:v>
      </x:c>
    </x:row>
    <x:row r="42" ht="112" customHeight="1">
      <x:c r="A42" s="15" t="str">
        <x:v>C05</x:v>
      </x:c>
      <x:c r="B42" s="15" t="str">
        <x:v>ResumeSpice</x:v>
      </x:c>
      <x:c r="C42" s="15" t="str">
        <x:v>Credible customer feedback</x:v>
      </x:c>
      <x:c r="D42" s="36" t="n">
        <x:f>Rubric!C$6</x:f>
        <x:v>20</x:v>
      </x:c>
      <x:c r="E42" s="38" t="n">
        <x:f>'Score Inputs'!C10</x:f>
        <x:v>9</x:v>
      </x:c>
      <x:c r="F42" s="34" t="n">
        <x:f>D42*E42/Rubric!$B$8</x:f>
        <x:v>18</x:v>
      </x:c>
      <x:c r="G42" s="15" t="str">
        <x:v>Extensive recent independent accounts strongly support positive service experience; an occasional critical review is not ignored.</x:v>
      </x:c>
      <x:c r="H42" s="15" t="str">
        <x:v>S024</x:v>
      </x:c>
      <x:c r="I42" s="15" t="str">
        <x:v>https://www.trustpilot.com/review/resumespice.com</x:v>
      </x:c>
      <x:c r="J42" s="15" t="str">
        <x:v>INFERRED editorial judgment; underlying source classifications retained</x:v>
      </x:c>
    </x:row>
    <x:row r="43" ht="112" customHeight="1">
      <x:c r="A43" s="15" t="str">
        <x:v>C05</x:v>
      </x:c>
      <x:c r="B43" s="15" t="str">
        <x:v>ResumeSpice</x:v>
      </x:c>
      <x:c r="C43" s="15" t="str">
        <x:v>Documented results and track record</x:v>
      </x:c>
      <x:c r="D43" s="36" t="n">
        <x:f>Rubric!D$6</x:f>
        <x:v>15</x:v>
      </x:c>
      <x:c r="E43" s="38" t="n">
        <x:f>'Score Inputs'!D10</x:f>
        <x:v>8</x:v>
      </x:c>
      <x:c r="F43" s="34" t="n">
        <x:f>D43*E43/Rubric!$B$8</x:f>
        <x:v>12</x:v>
      </x:c>
      <x:c r="G43" s="15" t="str">
        <x:v>Interview and offer accounts support a strong practical record; coaching-only experiences are not counted as résumé outcomes.</x:v>
      </x:c>
      <x:c r="H43" s="15" t="str">
        <x:v>S024</x:v>
      </x:c>
      <x:c r="I43" s="15" t="str">
        <x:v>https://www.trustpilot.com/review/resumespice.com</x:v>
      </x:c>
      <x:c r="J43" s="15" t="str">
        <x:v>INFERRED editorial judgment; underlying source classifications retained</x:v>
      </x:c>
    </x:row>
    <x:row r="44" ht="112" customHeight="1">
      <x:c r="A44" s="15" t="str">
        <x:v>C05</x:v>
      </x:c>
      <x:c r="B44" s="15" t="str">
        <x:v>ResumeSpice</x:v>
      </x:c>
      <x:c r="C44" s="15" t="str">
        <x:v>Pricing, value and transparency</x:v>
      </x:c>
      <x:c r="D44" s="36" t="n">
        <x:f>Rubric!E$6</x:f>
        <x:v>15</x:v>
      </x:c>
      <x:c r="E44" s="38" t="n">
        <x:f>'Score Inputs'!E10</x:f>
        <x:v>8</x:v>
      </x:c>
      <x:c r="F44" s="34" t="n">
        <x:f>D44*E44/Rubric!$B$8</x:f>
        <x:v>12</x:v>
      </x:c>
      <x:c r="G44" s="15" t="str">
        <x:v>Clear tier prices and consultation deliver substantial scope; the full résumé/letter/LinkedIn combination is not a budget offering.</x:v>
      </x:c>
      <x:c r="H44" s="15" t="str">
        <x:v>S020</x:v>
      </x:c>
      <x:c r="I44" s="15" t="str">
        <x:v>https://resumespice.com/pricing/resumes-cover-letters-interviews-linkedin/</x:v>
      </x:c>
      <x:c r="J44" s="15" t="str">
        <x:v>INFERRED editorial judgment; underlying source classifications retained</x:v>
      </x:c>
    </x:row>
    <x:row r="45" ht="112" customHeight="1">
      <x:c r="A45" s="15" t="str">
        <x:v>C05</x:v>
      </x:c>
      <x:c r="B45" s="15" t="str">
        <x:v>ResumeSpice</x:v>
      </x:c>
      <x:c r="C45" s="15" t="str">
        <x:v>Service depth and personalization</x:v>
      </x:c>
      <x:c r="D45" s="36" t="n">
        <x:f>Rubric!F$6</x:f>
        <x:v>10</x:v>
      </x:c>
      <x:c r="E45" s="38" t="n">
        <x:f>'Score Inputs'!F10</x:f>
        <x:v>8.5</x:v>
      </x:c>
      <x:c r="F45" s="34" t="n">
        <x:f>D45*E45/Rubric!$B$8</x:f>
        <x:v>8.5</x:v>
      </x:c>
      <x:c r="G45" s="15" t="str">
        <x:v>Phone discovery, named consultant interaction and revisions provide a structured personalized engagement.</x:v>
      </x:c>
      <x:c r="H45" s="15" t="str">
        <x:v>S020 S021</x:v>
      </x:c>
      <x:c r="I45" s="15" t="str">
        <x:v>https://resumespice.com/pricing/resumes-cover-letters-interviews-linkedin/
https://resumespice.com/about/frequently-asked-questions-about-resume-writers/</x:v>
      </x:c>
      <x:c r="J45" s="15" t="str">
        <x:v>INFERRED editorial judgment; underlying source classifications retained</x:v>
      </x:c>
    </x:row>
    <x:row r="46" ht="112" customHeight="1">
      <x:c r="A46" s="15" t="str">
        <x:v>C05</x:v>
      </x:c>
      <x:c r="B46" s="15" t="str">
        <x:v>ResumeSpice</x:v>
      </x:c>
      <x:c r="C46" s="15" t="str">
        <x:v>Writer qualifications and credentials</x:v>
      </x:c>
      <x:c r="D46" s="36" t="n">
        <x:f>Rubric!G$6</x:f>
        <x:v>10</x:v>
      </x:c>
      <x:c r="E46" s="38" t="n">
        <x:f>'Score Inputs'!G10</x:f>
        <x:v>7.5</x:v>
      </x:c>
      <x:c r="F46" s="34" t="n">
        <x:f>D46*E46/Rubric!$B$8</x:f>
        <x:v>7.5</x:v>
      </x:c>
      <x:c r="G46" s="15" t="str">
        <x:v>Recruiter-informed standards support competence, but internal certification is not automatically an externally issued credential; staffing statements differ.</x:v>
      </x:c>
      <x:c r="H46" s="15" t="str">
        <x:v>S021 S022</x:v>
      </x:c>
      <x:c r="I46" s="15" t="str">
        <x:v>https://resumespice.com/about/frequently-asked-questions-about-resume-writers/
https://resumespice.com/terms-and-conditions/</x:v>
      </x:c>
      <x:c r="J46" s="15" t="str">
        <x:v>INFERRED editorial judgment; underlying source classifications retained</x:v>
      </x:c>
    </x:row>
    <x:row r="47" ht="112" customHeight="1">
      <x:c r="A47" s="15" t="str">
        <x:v>C05</x:v>
      </x:c>
      <x:c r="B47" s="15" t="str">
        <x:v>ResumeSpice</x:v>
      </x:c>
      <x:c r="C47" s="15" t="str">
        <x:v>Quality standards and commitment</x:v>
      </x:c>
      <x:c r="D47" s="36" t="n">
        <x:f>Rubric!H$6</x:f>
        <x:v>10</x:v>
      </x:c>
      <x:c r="E47" s="38" t="n">
        <x:f>'Score Inputs'!H10</x:f>
        <x:v>8</x:v>
      </x:c>
      <x:c r="F47" s="34" t="n">
        <x:f>D47*E47/Rubric!$B$8</x:f>
        <x:v>8</x:v>
      </x:c>
      <x:c r="G47" s="15" t="str">
        <x:v>Detailed customer descriptions and editing process support a strong quality judgment; no full selected document was visually assessed.</x:v>
      </x:c>
      <x:c r="H47" s="15" t="str">
        <x:v>S021 S024</x:v>
      </x:c>
      <x:c r="I47" s="15" t="str">
        <x:v>https://resumespice.com/about/frequently-asked-questions-about-resume-writers/
https://www.trustpilot.com/review/resumespice.com</x:v>
      </x:c>
      <x:c r="J47" s="15" t="str">
        <x:v>INFERRED editorial judgment; underlying source classifications retained</x:v>
      </x:c>
    </x:row>
    <x:row r="48" ht="112" customHeight="1">
      <x:c r="A48" s="15" t="str">
        <x:v>C05</x:v>
      </x:c>
      <x:c r="B48" s="15" t="str">
        <x:v>ResumeSpice</x:v>
      </x:c>
      <x:c r="C48" s="15" t="str">
        <x:v>Serious complaints and resolution</x:v>
      </x:c>
      <x:c r="D48" s="36" t="n">
        <x:f>Rubric!I$6</x:f>
        <x:v>10</x:v>
      </x:c>
      <x:c r="E48" s="38" t="n">
        <x:f>'Score Inputs'!I10</x:f>
        <x:v>8.5</x:v>
      </x:c>
      <x:c r="F48" s="34" t="n">
        <x:f>D48*E48/Rubric!$B$8</x:f>
        <x:v>8.5</x:v>
      </x:c>
      <x:c r="G48" s="15" t="str">
        <x:v>Zero displayed formal BBB complaints plus responsive customer accounts support a strong service-recovery rating; refunds are restrictive.</x:v>
      </x:c>
      <x:c r="H48" s="15" t="str">
        <x:v>S023 S022</x:v>
      </x:c>
      <x:c r="I48" s="15" t="str">
        <x:v>https://www.bbb.org/us/tx/houston/profile/resume-services/resumespice-0915-90047381/complaints
https://resumespice.com/terms-and-conditions/</x:v>
      </x:c>
      <x:c r="J48" s="15" t="str">
        <x:v>INFERRED editorial judgment; underlying source classifications retained</x:v>
      </x:c>
    </x:row>
    <x:row r="49" ht="112" customHeight="1">
      <x:c r="A49" s="15" t="str">
        <x:v>C05</x:v>
      </x:c>
      <x:c r="B49" s="15" t="str">
        <x:v>ResumeSpice</x:v>
      </x:c>
      <x:c r="C49" s="15" t="str">
        <x:v>History and stability</x:v>
      </x:c>
      <x:c r="D49" s="36" t="n">
        <x:f>Rubric!J$6</x:f>
        <x:v>5</x:v>
      </x:c>
      <x:c r="E49" s="38" t="n">
        <x:f>'Score Inputs'!J10</x:f>
        <x:v>7.5</x:v>
      </x:c>
      <x:c r="F49" s="34" t="n">
        <x:f>D49*E49/Rubric!$B$8</x:f>
        <x:v>3.75</x:v>
      </x:c>
      <x:c r="G49" s="15" t="str">
        <x:v>An established service and multi-year customer record support stability; it is younger than the longest-running specialists.</x:v>
      </x:c>
      <x:c r="H49" s="15" t="str">
        <x:v>S024</x:v>
      </x:c>
      <x:c r="I49" s="15" t="str">
        <x:v>https://www.trustpilot.com/review/resumespice.com</x:v>
      </x:c>
      <x:c r="J49" s="15" t="str">
        <x:v>INFERRED editorial judgment; underlying source classifications retained</x:v>
      </x:c>
    </x:row>
    <x:row r="50" ht="112" customHeight="1">
      <x:c r="A50" s="15" t="str">
        <x:v>C05</x:v>
      </x:c>
      <x:c r="B50" s="15" t="str">
        <x:v>ResumeSpice</x:v>
      </x:c>
      <x:c r="C50" s="15" t="str">
        <x:v>Independently supported professional reputation</x:v>
      </x:c>
      <x:c r="D50" s="36" t="n">
        <x:f>Rubric!K$6</x:f>
        <x:v>5</x:v>
      </x:c>
      <x:c r="E50" s="38" t="n">
        <x:f>'Score Inputs'!K10</x:f>
        <x:v>7.5</x:v>
      </x:c>
      <x:c r="F50" s="34" t="n">
        <x:f>D50*E50/Rubric!$B$8</x:f>
        <x:v>3.75</x:v>
      </x:c>
      <x:c r="G50" s="15" t="str">
        <x:v>Recruiting-related professional positioning is relevant, while star totals and company marketing are not independent industry awards.</x:v>
      </x:c>
      <x:c r="H50" s="15" t="str">
        <x:v>S021 S024</x:v>
      </x:c>
      <x:c r="I50" s="15" t="str">
        <x:v>https://resumespice.com/about/frequently-asked-questions-about-resume-writers/
https://www.trustpilot.com/review/resumespice.com</x:v>
      </x:c>
      <x:c r="J50" s="15" t="str">
        <x:v>INFERRED editorial judgment; underlying source classifications retained</x:v>
      </x:c>
    </x:row>
    <x:row r="51" ht="112" customHeight="1">
      <x:c r="A51" s="15" t="str">
        <x:v>C06</x:v>
      </x:c>
      <x:c r="B51" s="15" t="str">
        <x:v>Great Resumes Fast</x:v>
      </x:c>
      <x:c r="C51" s="15" t="str">
        <x:v>Credible customer feedback</x:v>
      </x:c>
      <x:c r="D51" s="36" t="n">
        <x:f>Rubric!C$6</x:f>
        <x:v>20</x:v>
      </x:c>
      <x:c r="E51" s="38" t="n">
        <x:f>'Score Inputs'!C11</x:f>
        <x:v>8</x:v>
      </x:c>
      <x:c r="F51" s="34" t="n">
        <x:f>D51*E51/Rubric!$B$8</x:f>
        <x:v>16</x:v>
      </x:c>
      <x:c r="G51" s="15" t="str">
        <x:v>Detailed favorable and repeat-client reviews support the customer case; communication and targeting criticisms temper consistency.</x:v>
      </x:c>
      <x:c r="H51" s="15" t="str">
        <x:v>S027</x:v>
      </x:c>
      <x:c r="I51" s="15" t="str">
        <x:v>https://www.trustpilot.com/review/greatresumesfast.com</x:v>
      </x:c>
      <x:c r="J51" s="15" t="str">
        <x:v>INFERRED editorial judgment; underlying source classifications retained</x:v>
      </x:c>
    </x:row>
    <x:row r="52" ht="112" customHeight="1">
      <x:c r="A52" s="15" t="str">
        <x:v>C06</x:v>
      </x:c>
      <x:c r="B52" s="15" t="str">
        <x:v>Great Resumes Fast</x:v>
      </x:c>
      <x:c r="C52" s="15" t="str">
        <x:v>Documented results and track record</x:v>
      </x:c>
      <x:c r="D52" s="36" t="n">
        <x:f>Rubric!D$6</x:f>
        <x:v>15</x:v>
      </x:c>
      <x:c r="E52" s="38" t="n">
        <x:f>'Score Inputs'!D11</x:f>
        <x:v>7.5</x:v>
      </x:c>
      <x:c r="F52" s="34" t="n">
        <x:f>D52*E52/Rubric!$B$8</x:f>
        <x:v>11.25</x:v>
      </x:c>
      <x:c r="G52" s="15" t="str">
        <x:v>Individual career-progress accounts count; promotional interview and offer percentages do not receive unearned statistical credit.</x:v>
      </x:c>
      <x:c r="H52" s="15" t="str">
        <x:v>S025 S027</x:v>
      </x:c>
      <x:c r="I52" s="15" t="str">
        <x:v>https://greatresumesfast.com/services-executive-resume-writers/
https://www.trustpilot.com/review/greatresumesfast.com</x:v>
      </x:c>
      <x:c r="J52" s="15" t="str">
        <x:v>INFERRED editorial judgment; underlying source classifications retained</x:v>
      </x:c>
    </x:row>
    <x:row r="53" ht="112" customHeight="1">
      <x:c r="A53" s="15" t="str">
        <x:v>C06</x:v>
      </x:c>
      <x:c r="B53" s="15" t="str">
        <x:v>Great Resumes Fast</x:v>
      </x:c>
      <x:c r="C53" s="15" t="str">
        <x:v>Pricing, value and transparency</x:v>
      </x:c>
      <x:c r="D53" s="36" t="n">
        <x:f>Rubric!E$6</x:f>
        <x:v>15</x:v>
      </x:c>
      <x:c r="E53" s="38" t="n">
        <x:f>'Score Inputs'!E11</x:f>
        <x:v>8</x:v>
      </x:c>
      <x:c r="F53" s="34" t="n">
        <x:f>D53*E53/Rubric!$B$8</x:f>
        <x:v>12</x:v>
      </x:c>
      <x:c r="G53" s="15" t="str">
        <x:v>Substantial executive discovery and document development support the published price bands; offers are compared by scope rather than sale status.</x:v>
      </x:c>
      <x:c r="H53" s="15" t="str">
        <x:v>S025 S026</x:v>
      </x:c>
      <x:c r="I53" s="15" t="str">
        <x:v>https://greatresumesfast.com/services-executive-resume-writers/
https://greatresumesfast.com/consult/</x:v>
      </x:c>
      <x:c r="J53" s="15" t="str">
        <x:v>INFERRED editorial judgment; underlying source classifications retained</x:v>
      </x:c>
    </x:row>
    <x:row r="54" ht="112" customHeight="1">
      <x:c r="A54" s="15" t="str">
        <x:v>C06</x:v>
      </x:c>
      <x:c r="B54" s="15" t="str">
        <x:v>Great Resumes Fast</x:v>
      </x:c>
      <x:c r="C54" s="15" t="str">
        <x:v>Service depth and personalization</x:v>
      </x:c>
      <x:c r="D54" s="36" t="n">
        <x:f>Rubric!F$6</x:f>
        <x:v>10</x:v>
      </x:c>
      <x:c r="E54" s="38" t="n">
        <x:f>'Score Inputs'!F11</x:f>
        <x:v>9</x:v>
      </x:c>
      <x:c r="F54" s="34" t="n">
        <x:f>D54*E54/Rubric!$B$8</x:f>
        <x:v>9</x:v>
      </x:c>
      <x:c r="G54" s="15" t="str">
        <x:v>A lengthy discovery interview, specialist writing and editorial collaboration support deep customization.</x:v>
      </x:c>
      <x:c r="H54" s="15" t="str">
        <x:v>S025</x:v>
      </x:c>
      <x:c r="I54" s="15" t="str">
        <x:v>https://greatresumesfast.com/services-executive-resume-writers/</x:v>
      </x:c>
      <x:c r="J54" s="15" t="str">
        <x:v>INFERRED editorial judgment; underlying source classifications retained</x:v>
      </x:c>
    </x:row>
    <x:row r="55" ht="112" customHeight="1">
      <x:c r="A55" s="15" t="str">
        <x:v>C06</x:v>
      </x:c>
      <x:c r="B55" s="15" t="str">
        <x:v>Great Resumes Fast</x:v>
      </x:c>
      <x:c r="C55" s="15" t="str">
        <x:v>Writer qualifications and credentials</x:v>
      </x:c>
      <x:c r="D55" s="36" t="n">
        <x:f>Rubric!G$6</x:f>
        <x:v>10</x:v>
      </x:c>
      <x:c r="E55" s="38" t="n">
        <x:f>'Score Inputs'!G11</x:f>
        <x:v>8</x:v>
      </x:c>
      <x:c r="F55" s="34" t="n">
        <x:f>D55*E55/Rubric!$B$8</x:f>
        <x:v>8</x:v>
      </x:c>
      <x:c r="G55" s="15" t="str">
        <x:v>Relevant founder preparation is documented; it cannot certify every assigned team writer.</x:v>
      </x:c>
      <x:c r="H55" s="15" t="str">
        <x:v>S122 S025</x:v>
      </x:c>
      <x:c r="I55" s="15" t="str">
        <x:v>https://members.parwcc.com/members/?id=61014155
https://greatresumesfast.com/services-executive-resume-writers/</x:v>
      </x:c>
      <x:c r="J55" s="15" t="str">
        <x:v>INFERRED editorial judgment; underlying source classifications retained</x:v>
      </x:c>
    </x:row>
    <x:row r="56" ht="112" customHeight="1">
      <x:c r="A56" s="15" t="str">
        <x:v>C06</x:v>
      </x:c>
      <x:c r="B56" s="15" t="str">
        <x:v>Great Resumes Fast</x:v>
      </x:c>
      <x:c r="C56" s="15" t="str">
        <x:v>Quality standards and commitment</x:v>
      </x:c>
      <x:c r="D56" s="36" t="n">
        <x:f>Rubric!H$6</x:f>
        <x:v>10</x:v>
      </x:c>
      <x:c r="E56" s="38" t="n">
        <x:f>'Score Inputs'!H11</x:f>
        <x:v>8.5</x:v>
      </x:c>
      <x:c r="F56" s="34" t="n">
        <x:f>D56*E56/Rubric!$B$8</x:f>
        <x:v>8.5</x:v>
      </x:c>
      <x:c r="G56" s="15" t="str">
        <x:v>The inspected executive sample develops business transformation and impact; density and small proofreading issues limit a higher grade.</x:v>
      </x:c>
      <x:c r="H56" s="15" t="str">
        <x:v>S028</x:v>
      </x:c>
      <x:c r="I56" s="15" t="str">
        <x:v>https://greatresumesfast.com/wp-content/uploads/2026/01/High-Impact-Marketing-Executive-Resume-1.pdf</x:v>
      </x:c>
      <x:c r="J56" s="15" t="str">
        <x:v>INFERRED editorial judgment; underlying source classifications retained</x:v>
      </x:c>
    </x:row>
    <x:row r="57" ht="112" customHeight="1">
      <x:c r="A57" s="15" t="str">
        <x:v>C06</x:v>
      </x:c>
      <x:c r="B57" s="15" t="str">
        <x:v>Great Resumes Fast</x:v>
      </x:c>
      <x:c r="C57" s="15" t="str">
        <x:v>Serious complaints and resolution</x:v>
      </x:c>
      <x:c r="D57" s="36" t="n">
        <x:f>Rubric!I$6</x:f>
        <x:v>10</x:v>
      </x:c>
      <x:c r="E57" s="38" t="n">
        <x:f>'Score Inputs'!I11</x:f>
        <x:v>7.5</x:v>
      </x:c>
      <x:c r="F57" s="34" t="n">
        <x:f>D57*E57/Rubric!$B$8</x:f>
        <x:v>7.5</x:v>
      </x:c>
      <x:c r="G57" s="15" t="str">
        <x:v>Revision rights and customer support are evident, but critical communication accounts and conditional assurances limit the recovery judgment.</x:v>
      </x:c>
      <x:c r="H57" s="15" t="str">
        <x:v>S025 S027</x:v>
      </x:c>
      <x:c r="I57" s="15" t="str">
        <x:v>https://greatresumesfast.com/services-executive-resume-writers/
https://www.trustpilot.com/review/greatresumesfast.com</x:v>
      </x:c>
      <x:c r="J57" s="15" t="str">
        <x:v>INFERRED editorial judgment; underlying source classifications retained</x:v>
      </x:c>
    </x:row>
    <x:row r="58" ht="112" customHeight="1">
      <x:c r="A58" s="15" t="str">
        <x:v>C06</x:v>
      </x:c>
      <x:c r="B58" s="15" t="str">
        <x:v>Great Resumes Fast</x:v>
      </x:c>
      <x:c r="C58" s="15" t="str">
        <x:v>History and stability</x:v>
      </x:c>
      <x:c r="D58" s="36" t="n">
        <x:f>Rubric!J$6</x:f>
        <x:v>5</x:v>
      </x:c>
      <x:c r="E58" s="38" t="n">
        <x:f>'Score Inputs'!J11</x:f>
        <x:v>8.5</x:v>
      </x:c>
      <x:c r="F58" s="34" t="n">
        <x:f>D58*E58/Rubric!$B$8</x:f>
        <x:v>4.25</x:v>
      </x:c>
      <x:c r="G58" s="15" t="str">
        <x:v>An established executive practice and repeat-customer history support continuity.</x:v>
      </x:c>
      <x:c r="H58" s="15" t="str">
        <x:v>S025 S027</x:v>
      </x:c>
      <x:c r="I58" s="15" t="str">
        <x:v>https://greatresumesfast.com/services-executive-resume-writers/
https://www.trustpilot.com/review/greatresumesfast.com</x:v>
      </x:c>
      <x:c r="J58" s="15" t="str">
        <x:v>INFERRED editorial judgment; underlying source classifications retained</x:v>
      </x:c>
    </x:row>
    <x:row r="59" ht="112" customHeight="1">
      <x:c r="A59" s="15" t="str">
        <x:v>C06</x:v>
      </x:c>
      <x:c r="B59" s="15" t="str">
        <x:v>Great Resumes Fast</x:v>
      </x:c>
      <x:c r="C59" s="15" t="str">
        <x:v>Independently supported professional reputation</x:v>
      </x:c>
      <x:c r="D59" s="36" t="n">
        <x:f>Rubric!K$6</x:f>
        <x:v>5</x:v>
      </x:c>
      <x:c r="E59" s="38" t="n">
        <x:f>'Score Inputs'!K11</x:f>
        <x:v>8</x:v>
      </x:c>
      <x:c r="F59" s="34" t="n">
        <x:f>D59*E59/Rubric!$B$8</x:f>
        <x:v>4</x:v>
      </x:c>
      <x:c r="G59" s="15" t="str">
        <x:v>Issuer-hosted professional presence and industry contribution support standing; self-promotional best-service claims are not treated as independent awards.</x:v>
      </x:c>
      <x:c r="H59" s="15" t="str">
        <x:v>S122</x:v>
      </x:c>
      <x:c r="I59" s="15" t="str">
        <x:v>https://members.parwcc.com/members/?id=61014155</x:v>
      </x:c>
      <x:c r="J59" s="15" t="str">
        <x:v>INFERRED editorial judgment; underlying source classifications retained</x:v>
      </x:c>
    </x:row>
    <x:row r="60" ht="112" customHeight="1">
      <x:c r="A60" s="15" t="str">
        <x:v>C07</x:v>
      </x:c>
      <x:c r="B60" s="15" t="str">
        <x:v>TopResume</x:v>
      </x:c>
      <x:c r="C60" s="15" t="str">
        <x:v>Credible customer feedback</x:v>
      </x:c>
      <x:c r="D60" s="36" t="n">
        <x:f>Rubric!C$6</x:f>
        <x:v>20</x:v>
      </x:c>
      <x:c r="E60" s="38" t="n">
        <x:f>'Score Inputs'!C12</x:f>
        <x:v>6.5</x:v>
      </x:c>
      <x:c r="F60" s="34" t="n">
        <x:f>D60*E60/Rubric!$B$8</x:f>
        <x:v>13</x:v>
      </x:c>
      <x:c r="G60" s="15" t="str">
        <x:v>Many positive customers exist, but visible writer-variation accounts make the satisfaction record materially mixed.</x:v>
      </x:c>
      <x:c r="H60" s="15" t="str">
        <x:v>S032</x:v>
      </x:c>
      <x:c r="I60" s="15" t="str">
        <x:v>https://www.trustpilot.com/review/topresume.com</x:v>
      </x:c>
      <x:c r="J60" s="15" t="str">
        <x:v>INFERRED editorial judgment; underlying source classifications retained</x:v>
      </x:c>
    </x:row>
    <x:row r="61" ht="112" customHeight="1">
      <x:c r="A61" s="15" t="str">
        <x:v>C07</x:v>
      </x:c>
      <x:c r="B61" s="15" t="str">
        <x:v>TopResume</x:v>
      </x:c>
      <x:c r="C61" s="15" t="str">
        <x:v>Documented results and track record</x:v>
      </x:c>
      <x:c r="D61" s="36" t="n">
        <x:f>Rubric!D$6</x:f>
        <x:v>15</x:v>
      </x:c>
      <x:c r="E61" s="38" t="n">
        <x:f>'Score Inputs'!D12</x:f>
        <x:v>7</x:v>
      </x:c>
      <x:c r="F61" s="34" t="n">
        <x:f>D61*E61/Rubric!$B$8</x:f>
        <x:v>10.5</x:v>
      </x:c>
      <x:c r="G61" s="15" t="str">
        <x:v>The commissioned historical study supplies some structured evidence, but compares rewriting with self-written documents, not competing firms.</x:v>
      </x:c>
      <x:c r="H61" s="15" t="str">
        <x:v>S035</x:v>
      </x:c>
      <x:c r="I61" s="15" t="str">
        <x:v>https://topresume.com/career-advice/dollars-sense-of-professional-resume</x:v>
      </x:c>
      <x:c r="J61" s="15" t="str">
        <x:v>INFERRED editorial judgment; underlying source classifications retained</x:v>
      </x:c>
    </x:row>
    <x:row r="62" ht="112" customHeight="1">
      <x:c r="A62" s="15" t="str">
        <x:v>C07</x:v>
      </x:c>
      <x:c r="B62" s="15" t="str">
        <x:v>TopResume</x:v>
      </x:c>
      <x:c r="C62" s="15" t="str">
        <x:v>Pricing, value and transparency</x:v>
      </x:c>
      <x:c r="D62" s="36" t="n">
        <x:f>Rubric!E$6</x:f>
        <x:v>15</x:v>
      </x:c>
      <x:c r="E62" s="38" t="n">
        <x:f>'Score Inputs'!E12</x:f>
        <x:v>6.5</x:v>
      </x:c>
      <x:c r="F62" s="34" t="n">
        <x:f>D62*E62/Rubric!$B$8</x:f>
        <x:v>9.75</x:v>
      </x:c>
      <x:c r="G62" s="15" t="str">
        <x:v>Accessible initial prices are offset by recurring platform terms and limited revision scope; the sale price itself is not a concern.</x:v>
      </x:c>
      <x:c r="H62" s="15" t="str">
        <x:v>S029 S030</x:v>
      </x:c>
      <x:c r="I62" s="15" t="str">
        <x:v>https://topresume.com/resume-writing
https://topresume.com/faq</x:v>
      </x:c>
      <x:c r="J62" s="15" t="str">
        <x:v>INFERRED editorial judgment; underlying source classifications retained</x:v>
      </x:c>
    </x:row>
    <x:row r="63" ht="112" customHeight="1">
      <x:c r="A63" s="15" t="str">
        <x:v>C07</x:v>
      </x:c>
      <x:c r="B63" s="15" t="str">
        <x:v>TopResume</x:v>
      </x:c>
      <x:c r="C63" s="15" t="str">
        <x:v>Service depth and personalization</x:v>
      </x:c>
      <x:c r="D63" s="36" t="n">
        <x:f>Rubric!F$6</x:f>
        <x:v>10</x:v>
      </x:c>
      <x:c r="E63" s="38" t="n">
        <x:f>'Score Inputs'!F12</x:f>
        <x:v>6.5</x:v>
      </x:c>
      <x:c r="F63" s="34" t="n">
        <x:f>D63*E63/Rubric!$B$8</x:f>
        <x:v>6.5</x:v>
      </x:c>
      <x:c r="G63" s="15" t="str">
        <x:v>Assigned-writer collaboration is available, but standard discovery and identity assurance are less intensive than named-practitioner services.</x:v>
      </x:c>
      <x:c r="H63" s="15" t="str">
        <x:v>S029 S031</x:v>
      </x:c>
      <x:c r="I63" s="15" t="str">
        <x:v>https://topresume.com/resume-writing
https://topresume.com/writers</x:v>
      </x:c>
      <x:c r="J63" s="15" t="str">
        <x:v>INFERRED editorial judgment; underlying source classifications retained</x:v>
      </x:c>
    </x:row>
    <x:row r="64" ht="112" customHeight="1">
      <x:c r="A64" s="15" t="str">
        <x:v>C07</x:v>
      </x:c>
      <x:c r="B64" s="15" t="str">
        <x:v>TopResume</x:v>
      </x:c>
      <x:c r="C64" s="15" t="str">
        <x:v>Writer qualifications and credentials</x:v>
      </x:c>
      <x:c r="D64" s="36" t="n">
        <x:f>Rubric!G$6</x:f>
        <x:v>10</x:v>
      </x:c>
      <x:c r="E64" s="38" t="n">
        <x:f>'Score Inputs'!G12</x:f>
        <x:v>6.5</x:v>
      </x:c>
      <x:c r="F64" s="34" t="n">
        <x:f>D64*E64/Rubric!$B$8</x:f>
        <x:v>6.5</x:v>
      </x:c>
      <x:c r="G64" s="15" t="str">
        <x:v>Writer biographies show relevant experience without establishing uniformly credentialed assignment or direct access to a specific expert.</x:v>
      </x:c>
      <x:c r="H64" s="15" t="str">
        <x:v>S031</x:v>
      </x:c>
      <x:c r="I64" s="15" t="str">
        <x:v>https://topresume.com/writers</x:v>
      </x:c>
      <x:c r="J64" s="15" t="str">
        <x:v>INFERRED editorial judgment; underlying source classifications retained</x:v>
      </x:c>
    </x:row>
    <x:row r="65" ht="112" customHeight="1">
      <x:c r="A65" s="15" t="str">
        <x:v>C07</x:v>
      </x:c>
      <x:c r="B65" s="15" t="str">
        <x:v>TopResume</x:v>
      </x:c>
      <x:c r="C65" s="15" t="str">
        <x:v>Quality standards and commitment</x:v>
      </x:c>
      <x:c r="D65" s="36" t="n">
        <x:f>Rubric!H$6</x:f>
        <x:v>10</x:v>
      </x:c>
      <x:c r="E65" s="38" t="n">
        <x:f>'Score Inputs'!H12</x:f>
        <x:v>6</x:v>
      </x:c>
      <x:c r="F65" s="34" t="n">
        <x:f>D65*E65/Rubric!$B$8</x:f>
        <x:v>6</x:v>
      </x:c>
      <x:c r="G65" s="15" t="str">
        <x:v>The inspected marketing example is organized but uses numerical placeholders; it demonstrates a template rather than fully specific client achievement development.</x:v>
      </x:c>
      <x:c r="H65" s="15" t="str">
        <x:v>S036</x:v>
      </x:c>
      <x:c r="I65" s="15" t="str">
        <x:v>https://topresume.com/samples/resumes/mid-career-professional</x:v>
      </x:c>
      <x:c r="J65" s="15" t="str">
        <x:v>INFERRED editorial judgment; underlying source classifications retained</x:v>
      </x:c>
    </x:row>
    <x:row r="66" ht="112" customHeight="1">
      <x:c r="A66" s="15" t="str">
        <x:v>C07</x:v>
      </x:c>
      <x:c r="B66" s="15" t="str">
        <x:v>TopResume</x:v>
      </x:c>
      <x:c r="C66" s="15" t="str">
        <x:v>Serious complaints and resolution</x:v>
      </x:c>
      <x:c r="D66" s="36" t="n">
        <x:f>Rubric!I$6</x:f>
        <x:v>10</x:v>
      </x:c>
      <x:c r="E66" s="38" t="n">
        <x:f>'Score Inputs'!I12</x:f>
        <x:v>3.5</x:v>
      </x:c>
      <x:c r="F66" s="34" t="n">
        <x:f>D66*E66/Rubric!$B$8</x:f>
        <x:v>3.5</x:v>
      </x:c>
      <x:c r="G66" s="15" t="str">
        <x:v>A BBB pattern alert and specifically attributable unresolved writing/billing disputes warrant a materially low rating; parent totals are not all TopResume cases.</x:v>
      </x:c>
      <x:c r="H66" s="15" t="str">
        <x:v>S034</x:v>
      </x:c>
      <x:c r="I66" s="15" t="str">
        <x:v>https://www.bbb.org/us/ny/new-york/profile/resume-services/talent-worldwide-inc-0121-151339/complaints</x:v>
      </x:c>
      <x:c r="J66" s="15" t="str">
        <x:v>INFERRED editorial judgment; underlying source classifications retained</x:v>
      </x:c>
    </x:row>
    <x:row r="67" ht="112" customHeight="1">
      <x:c r="A67" s="15" t="str">
        <x:v>C07</x:v>
      </x:c>
      <x:c r="B67" s="15" t="str">
        <x:v>TopResume</x:v>
      </x:c>
      <x:c r="C67" s="15" t="str">
        <x:v>History and stability</x:v>
      </x:c>
      <x:c r="D67" s="36" t="n">
        <x:f>Rubric!J$6</x:f>
        <x:v>5</x:v>
      </x:c>
      <x:c r="E67" s="38" t="n">
        <x:f>'Score Inputs'!J12</x:f>
        <x:v>7.5</x:v>
      </x:c>
      <x:c r="F67" s="34" t="n">
        <x:f>D67*E67/Rubric!$B$8</x:f>
        <x:v>3.75</x:v>
      </x:c>
      <x:c r="G67" s="15" t="str">
        <x:v>A well-established operating brand and large historical customer footprint support business continuity, separately from service concerns.</x:v>
      </x:c>
      <x:c r="H67" s="15" t="str">
        <x:v>S032 S035</x:v>
      </x:c>
      <x:c r="I67" s="15" t="str">
        <x:v>https://www.trustpilot.com/review/topresume.com
https://topresume.com/career-advice/dollars-sense-of-professional-resume</x:v>
      </x:c>
      <x:c r="J67" s="15" t="str">
        <x:v>INFERRED editorial judgment; underlying source classifications retained</x:v>
      </x:c>
    </x:row>
    <x:row r="68" ht="112" customHeight="1">
      <x:c r="A68" s="15" t="str">
        <x:v>C07</x:v>
      </x:c>
      <x:c r="B68" s="15" t="str">
        <x:v>TopResume</x:v>
      </x:c>
      <x:c r="C68" s="15" t="str">
        <x:v>Independently supported professional reputation</x:v>
      </x:c>
      <x:c r="D68" s="36" t="n">
        <x:f>Rubric!K$6</x:f>
        <x:v>5</x:v>
      </x:c>
      <x:c r="E68" s="38" t="n">
        <x:f>'Score Inputs'!K12</x:f>
        <x:v>6.5</x:v>
      </x:c>
      <x:c r="F68" s="34" t="n">
        <x:f>D68*E68/Rubric!$B$8</x:f>
        <x:v>3.25</x:v>
      </x:c>
      <x:c r="G68" s="15" t="str">
        <x:v>Broad visibility and research activity provide professional presence; prominence and paid promotion do not establish superior craftsmanship.</x:v>
      </x:c>
      <x:c r="H68" s="15" t="str">
        <x:v>S031 S035</x:v>
      </x:c>
      <x:c r="I68" s="15" t="str">
        <x:v>https://topresume.com/writers
https://topresume.com/career-advice/dollars-sense-of-professional-resume</x:v>
      </x:c>
      <x:c r="J68" s="15" t="str">
        <x:v>INFERRED editorial judgment; underlying source classifications retained</x:v>
      </x:c>
    </x:row>
    <x:row r="69" ht="112" customHeight="1">
      <x:c r="A69" s="15" t="str">
        <x:v>C08</x:v>
      </x:c>
      <x:c r="B69" s="15" t="str">
        <x:v>The Resume Place</x:v>
      </x:c>
      <x:c r="C69" s="15" t="str">
        <x:v>Credible customer feedback</x:v>
      </x:c>
      <x:c r="D69" s="36" t="n">
        <x:f>Rubric!C$6</x:f>
        <x:v>20</x:v>
      </x:c>
      <x:c r="E69" s="38" t="n">
        <x:f>'Score Inputs'!C13</x:f>
        <x:v>7</x:v>
      </x:c>
      <x:c r="F69" s="34" t="n">
        <x:f>D69*E69/Rubric!$B$8</x:f>
        <x:v>14</x:v>
      </x:c>
      <x:c r="G69" s="15" t="str">
        <x:v>Available paid-service accounts support relevant expertise, but the independent sample is small and includes older communication disputes.</x:v>
      </x:c>
      <x:c r="H69" s="15" t="str">
        <x:v>S040</x:v>
      </x:c>
      <x:c r="I69" s="15" t="str">
        <x:v>https://the-resume-place.pissedconsumer.com/review.html</x:v>
      </x:c>
      <x:c r="J69" s="15" t="str">
        <x:v>INFERRED editorial judgment; underlying source classifications retained</x:v>
      </x:c>
    </x:row>
    <x:row r="70" ht="112" customHeight="1">
      <x:c r="A70" s="15" t="str">
        <x:v>C08</x:v>
      </x:c>
      <x:c r="B70" s="15" t="str">
        <x:v>The Resume Place</x:v>
      </x:c>
      <x:c r="C70" s="15" t="str">
        <x:v>Documented results and track record</x:v>
      </x:c>
      <x:c r="D70" s="36" t="n">
        <x:f>Rubric!D$6</x:f>
        <x:v>15</x:v>
      </x:c>
      <x:c r="E70" s="38" t="n">
        <x:f>'Score Inputs'!D13</x:f>
        <x:v>7</x:v>
      </x:c>
      <x:c r="F70" s="34" t="n">
        <x:f>D70*E70/Rubric!$B$8</x:f>
        <x:v>10.5</x:v>
      </x:c>
      <x:c r="G70" s="15" t="str">
        <x:v>An attributed favorable job outcome and long specialist record support usefulness; books and training attendance are not résumé-purchase results.</x:v>
      </x:c>
      <x:c r="H70" s="15" t="str">
        <x:v>S040 S039</x:v>
      </x:c>
      <x:c r="I70" s="15" t="str">
        <x:v>https://the-resume-place.pissedconsumer.com/review.html
https://events.georgetown.edu/pivot-with-purpose/event/38146-writing-the-new-2-page-federal-resume/</x:v>
      </x:c>
      <x:c r="J70" s="15" t="str">
        <x:v>INFERRED editorial judgment; underlying source classifications retained</x:v>
      </x:c>
    </x:row>
    <x:row r="71" ht="112" customHeight="1">
      <x:c r="A71" s="15" t="str">
        <x:v>C08</x:v>
      </x:c>
      <x:c r="B71" s="15" t="str">
        <x:v>The Resume Place</x:v>
      </x:c>
      <x:c r="C71" s="15" t="str">
        <x:v>Pricing, value and transparency</x:v>
      </x:c>
      <x:c r="D71" s="36" t="n">
        <x:f>Rubric!E$6</x:f>
        <x:v>15</x:v>
      </x:c>
      <x:c r="E71" s="38" t="n">
        <x:f>'Score Inputs'!E13</x:f>
        <x:v>7</x:v>
      </x:c>
      <x:c r="F71" s="34" t="n">
        <x:f>D71*E71/Rubric!$B$8</x:f>
        <x:v>10.5</x:v>
      </x:c>
      <x:c r="G71" s="15" t="str">
        <x:v>Federal scope and published consultation fees give a useful basis for engagement, but no complete-project price is invented.</x:v>
      </x:c>
      <x:c r="H71" s="15" t="str">
        <x:v>S037</x:v>
      </x:c>
      <x:c r="I71" s="15" t="str">
        <x:v>https://resume-place.com/federal-resumes/federal-resume-fees/</x:v>
      </x:c>
      <x:c r="J71" s="15" t="str">
        <x:v>INFERRED editorial judgment; underlying source classifications retained</x:v>
      </x:c>
    </x:row>
    <x:row r="72" ht="112" customHeight="1">
      <x:c r="A72" s="15" t="str">
        <x:v>C08</x:v>
      </x:c>
      <x:c r="B72" s="15" t="str">
        <x:v>The Resume Place</x:v>
      </x:c>
      <x:c r="C72" s="15" t="str">
        <x:v>Service depth and personalization</x:v>
      </x:c>
      <x:c r="D72" s="36" t="n">
        <x:f>Rubric!F$6</x:f>
        <x:v>10</x:v>
      </x:c>
      <x:c r="E72" s="38" t="n">
        <x:f>'Score Inputs'!F13</x:f>
        <x:v>8.5</x:v>
      </x:c>
      <x:c r="F72" s="34" t="n">
        <x:f>D72*E72/Rubric!$B$8</x:f>
        <x:v>8.5</x:v>
      </x:c>
      <x:c r="G72" s="15" t="str">
        <x:v>Federal targeting and senior-service options support specialist customization; full scope depends on the engagement.</x:v>
      </x:c>
      <x:c r="H72" s="15" t="str">
        <x:v>S037 S038</x:v>
      </x:c>
      <x:c r="I72" s="15" t="str">
        <x:v>https://resume-place.com/federal-resumes/federal-resume-fees/
https://resume-place.com/federal-resumes/federal-resume-samples/</x:v>
      </x:c>
      <x:c r="J72" s="15" t="str">
        <x:v>INFERRED editorial judgment; underlying source classifications retained</x:v>
      </x:c>
    </x:row>
    <x:row r="73" ht="112" customHeight="1">
      <x:c r="A73" s="15" t="str">
        <x:v>C08</x:v>
      </x:c>
      <x:c r="B73" s="15" t="str">
        <x:v>The Resume Place</x:v>
      </x:c>
      <x:c r="C73" s="15" t="str">
        <x:v>Writer qualifications and credentials</x:v>
      </x:c>
      <x:c r="D73" s="36" t="n">
        <x:f>Rubric!G$6</x:f>
        <x:v>10</x:v>
      </x:c>
      <x:c r="E73" s="38" t="n">
        <x:f>'Score Inputs'!G13</x:f>
        <x:v>8.5</x:v>
      </x:c>
      <x:c r="F73" s="34" t="n">
        <x:f>D73*E73/Rubric!$B$8</x:f>
        <x:v>8.5</x:v>
      </x:c>
      <x:c r="G73" s="15" t="str">
        <x:v>Deep federal expertise and educational contribution are supported; credentials issued by the firm are identified separately from outside certification.</x:v>
      </x:c>
      <x:c r="H73" s="15" t="str">
        <x:v>S039 S066</x:v>
      </x:c>
      <x:c r="I73" s="15" t="str">
        <x:v>https://events.georgetown.edu/pivot-with-purpose/event/38146-writing-the-new-2-page-federal-resume/
https://thenrwa.org/industryheroaward</x:v>
      </x:c>
      <x:c r="J73" s="15" t="str">
        <x:v>INFERRED editorial judgment; underlying source classifications retained</x:v>
      </x:c>
    </x:row>
    <x:row r="74" ht="112" customHeight="1">
      <x:c r="A74" s="15" t="str">
        <x:v>C08</x:v>
      </x:c>
      <x:c r="B74" s="15" t="str">
        <x:v>The Resume Place</x:v>
      </x:c>
      <x:c r="C74" s="15" t="str">
        <x:v>Quality standards and commitment</x:v>
      </x:c>
      <x:c r="D74" s="36" t="n">
        <x:f>Rubric!H$6</x:f>
        <x:v>10</x:v>
      </x:c>
      <x:c r="E74" s="38" t="n">
        <x:f>'Score Inputs'!H13</x:f>
        <x:v>8</x:v>
      </x:c>
      <x:c r="F74" s="34" t="n">
        <x:f>D74*E74/Rubric!$B$8</x:f>
        <x:v>8</x:v>
      </x:c>
      <x:c r="G74" s="15" t="str">
        <x:v>A current specialist gallery and documented methodology support the process; prior sample evidence is retained, not presented as new visual testing.</x:v>
      </x:c>
      <x:c r="H74" s="15" t="str">
        <x:v>S038</x:v>
      </x:c>
      <x:c r="I74" s="15" t="str">
        <x:v>https://resume-place.com/federal-resumes/federal-resume-samples/</x:v>
      </x:c>
      <x:c r="J74" s="15" t="str">
        <x:v>INFERRED editorial judgment; underlying source classifications retained</x:v>
      </x:c>
    </x:row>
    <x:row r="75" ht="112" customHeight="1">
      <x:c r="A75" s="15" t="str">
        <x:v>C08</x:v>
      </x:c>
      <x:c r="B75" s="15" t="str">
        <x:v>The Resume Place</x:v>
      </x:c>
      <x:c r="C75" s="15" t="str">
        <x:v>Serious complaints and resolution</x:v>
      </x:c>
      <x:c r="D75" s="36" t="n">
        <x:f>Rubric!I$6</x:f>
        <x:v>10</x:v>
      </x:c>
      <x:c r="E75" s="38" t="n">
        <x:f>'Score Inputs'!I13</x:f>
        <x:v>7.5</x:v>
      </x:c>
      <x:c r="F75" s="34" t="n">
        <x:f>D75*E75/Rubric!$B$8</x:f>
        <x:v>7.5</x:v>
      </x:c>
      <x:c r="G75" s="15" t="str">
        <x:v>Defined consulting access provides a support route; current independent resolution evidence is limited and does not justify either zero or perfection.</x:v>
      </x:c>
      <x:c r="H75" s="15" t="str">
        <x:v>S037 S040</x:v>
      </x:c>
      <x:c r="I75" s="15" t="str">
        <x:v>https://resume-place.com/federal-resumes/federal-resume-fees/
https://the-resume-place.pissedconsumer.com/review.html</x:v>
      </x:c>
      <x:c r="J75" s="15" t="str">
        <x:v>INFERRED editorial judgment; underlying source classifications retained</x:v>
      </x:c>
    </x:row>
    <x:row r="76" ht="112" customHeight="1">
      <x:c r="A76" s="15" t="str">
        <x:v>C08</x:v>
      </x:c>
      <x:c r="B76" s="15" t="str">
        <x:v>The Resume Place</x:v>
      </x:c>
      <x:c r="C76" s="15" t="str">
        <x:v>History and stability</x:v>
      </x:c>
      <x:c r="D76" s="36" t="n">
        <x:f>Rubric!J$6</x:f>
        <x:v>5</x:v>
      </x:c>
      <x:c r="E76" s="38" t="n">
        <x:f>'Score Inputs'!J13</x:f>
        <x:v>9.5</x:v>
      </x:c>
      <x:c r="F76" s="34" t="n">
        <x:f>D76*E76/Rubric!$B$8</x:f>
        <x:v>4.75</x:v>
      </x:c>
      <x:c r="G76" s="15" t="str">
        <x:v>The association documents an exceptionally long-running federal résumé practice.</x:v>
      </x:c>
      <x:c r="H76" s="15" t="str">
        <x:v>S066</x:v>
      </x:c>
      <x:c r="I76" s="15" t="str">
        <x:v>https://thenrwa.org/industryheroaward</x:v>
      </x:c>
      <x:c r="J76" s="15" t="str">
        <x:v>INFERRED editorial judgment; underlying source classifications retained</x:v>
      </x:c>
    </x:row>
    <x:row r="77" ht="112" customHeight="1">
      <x:c r="A77" s="15" t="str">
        <x:v>C08</x:v>
      </x:c>
      <x:c r="B77" s="15" t="str">
        <x:v>The Resume Place</x:v>
      </x:c>
      <x:c r="C77" s="15" t="str">
        <x:v>Independently supported professional reputation</x:v>
      </x:c>
      <x:c r="D77" s="36" t="n">
        <x:f>Rubric!K$6</x:f>
        <x:v>5</x:v>
      </x:c>
      <x:c r="E77" s="38" t="n">
        <x:f>'Score Inputs'!K13</x:f>
        <x:v>9</x:v>
      </x:c>
      <x:c r="F77" s="34" t="n">
        <x:f>D77*E77/Rubric!$B$8</x:f>
        <x:v>4.5</x:v>
      </x:c>
      <x:c r="G77" s="15" t="str">
        <x:v>Independent Industry Hero recognition and university-hosted educational activity support unusually strong professional standing.</x:v>
      </x:c>
      <x:c r="H77" s="15" t="str">
        <x:v>S066 S039</x:v>
      </x:c>
      <x:c r="I77" s="15" t="str">
        <x:v>https://thenrwa.org/industryheroaward
https://events.georgetown.edu/pivot-with-purpose/event/38146-writing-the-new-2-page-federal-resume/</x:v>
      </x:c>
      <x:c r="J77" s="15" t="str">
        <x:v>INFERRED editorial judgment; underlying source classifications retained</x:v>
      </x:c>
    </x:row>
    <x:row r="78" ht="112" customHeight="1">
      <x:c r="A78" s="15" t="str">
        <x:v>C09</x:v>
      </x:c>
      <x:c r="B78" s="15" t="str">
        <x:v>Ivy League Résumés</x:v>
      </x:c>
      <x:c r="C78" s="15" t="str">
        <x:v>Credible customer feedback</x:v>
      </x:c>
      <x:c r="D78" s="36" t="n">
        <x:f>Rubric!C$6</x:f>
        <x:v>20</x:v>
      </x:c>
      <x:c r="E78" s="38" t="n">
        <x:f>'Score Inputs'!C14</x:f>
        <x:v>9</x:v>
      </x:c>
      <x:c r="F78" s="34" t="n">
        <x:f>D78*E78/Rubric!$B$8</x:f>
        <x:v>18</x:v>
      </x:c>
      <x:c r="G78" s="15" t="str">
        <x:v>A large source-associated archive and independent review evidence contain unusually detailed service accounts; mixed-service records are not all résumé purchases.</x:v>
      </x:c>
      <x:c r="H78" s="15" t="str">
        <x:v>S041</x:v>
      </x:c>
      <x:c r="I78" s="15" t="str">
        <x:v>https://www.ivyleaguecoaching.com/results</x:v>
      </x:c>
      <x:c r="J78" s="15" t="str">
        <x:v>INFERRED editorial judgment; underlying source classifications retained</x:v>
      </x:c>
    </x:row>
    <x:row r="79" ht="112" customHeight="1">
      <x:c r="A79" s="15" t="str">
        <x:v>C09</x:v>
      </x:c>
      <x:c r="B79" s="15" t="str">
        <x:v>Ivy League Résumés</x:v>
      </x:c>
      <x:c r="C79" s="15" t="str">
        <x:v>Documented results and track record</x:v>
      </x:c>
      <x:c r="D79" s="36" t="n">
        <x:f>Rubric!D$6</x:f>
        <x:v>15</x:v>
      </x:c>
      <x:c r="E79" s="38" t="n">
        <x:f>'Score Inputs'!D14</x:f>
        <x:v>8.5</x:v>
      </x:c>
      <x:c r="F79" s="34" t="n">
        <x:f>D79*E79/Rubric!$B$8</x:f>
        <x:v>12.75</x:v>
      </x:c>
      <x:c r="G79" s="15" t="str">
        <x:v>Specific interviews, offers, return engagements and referrals support a strong track record; no-claim guarantee history is not a 100% success rate.</x:v>
      </x:c>
      <x:c r="H79" s="15" t="str">
        <x:v>S041</x:v>
      </x:c>
      <x:c r="I79" s="15" t="str">
        <x:v>https://www.ivyleaguecoaching.com/results</x:v>
      </x:c>
      <x:c r="J79" s="15" t="str">
        <x:v>INFERRED editorial judgment; underlying source classifications retained</x:v>
      </x:c>
    </x:row>
    <x:row r="80" ht="112" customHeight="1">
      <x:c r="A80" s="15" t="str">
        <x:v>C09</x:v>
      </x:c>
      <x:c r="B80" s="15" t="str">
        <x:v>Ivy League Résumés</x:v>
      </x:c>
      <x:c r="C80" s="15" t="str">
        <x:v>Pricing, value and transparency</x:v>
      </x:c>
      <x:c r="D80" s="36" t="n">
        <x:f>Rubric!E$6</x:f>
        <x:v>15</x:v>
      </x:c>
      <x:c r="E80" s="38" t="n">
        <x:f>'Score Inputs'!E14</x:f>
        <x:v>9</x:v>
      </x:c>
      <x:c r="F80" s="34" t="n">
        <x:f>D80*E80/Rubric!$B$8</x:f>
        <x:v>13.5</x:v>
      </x:c>
      <x:c r="G80" s="15" t="str">
        <x:v>Published customized-package prices are strong relative to named-expert discovery and coordinated documents; automated tiers are excluded.</x:v>
      </x:c>
      <x:c r="H80" s="15" t="str">
        <x:v>S046</x:v>
      </x:c>
      <x:c r="I80" s="15" t="str">
        <x:v>https://ivyleagueresume.com/knowledge/records/service-page-services.html</x:v>
      </x:c>
      <x:c r="J80" s="15" t="str">
        <x:v>INFERRED editorial judgment; underlying source classifications retained</x:v>
      </x:c>
    </x:row>
    <x:row r="81" ht="112" customHeight="1">
      <x:c r="A81" s="15" t="str">
        <x:v>C09</x:v>
      </x:c>
      <x:c r="B81" s="15" t="str">
        <x:v>Ivy League Résumés</x:v>
      </x:c>
      <x:c r="C81" s="15" t="str">
        <x:v>Service depth and personalization</x:v>
      </x:c>
      <x:c r="D81" s="36" t="n">
        <x:f>Rubric!F$6</x:f>
        <x:v>10</x:v>
      </x:c>
      <x:c r="E81" s="38" t="n">
        <x:f>'Score Inputs'!F14</x:f>
        <x:v>9.5</x:v>
      </x:c>
      <x:c r="F81" s="34" t="n">
        <x:f>D81*E81/Rubric!$B$8</x:f>
        <x:v>9.5</x:v>
      </x:c>
      <x:c r="G81" s="15" t="str">
        <x:v>Direct practitioner discovery, writing and follow-up create unusually clear authorship accountability and individualized positioning.</x:v>
      </x:c>
      <x:c r="H81" s="15" t="str">
        <x:v>S041 S044</x:v>
      </x:c>
      <x:c r="I81" s="15" t="str">
        <x:v>https://www.ivyleaguecoaching.com/results
https://thenrwa.org/Sys/PublicProfile/30439154</x:v>
      </x:c>
      <x:c r="J81" s="15" t="str">
        <x:v>INFERRED editorial judgment; underlying source classifications retained</x:v>
      </x:c>
    </x:row>
    <x:row r="82" ht="112" customHeight="1">
      <x:c r="A82" s="15" t="str">
        <x:v>C09</x:v>
      </x:c>
      <x:c r="B82" s="15" t="str">
        <x:v>Ivy League Résumés</x:v>
      </x:c>
      <x:c r="C82" s="15" t="str">
        <x:v>Writer qualifications and credentials</x:v>
      </x:c>
      <x:c r="D82" s="36" t="n">
        <x:f>Rubric!G$6</x:f>
        <x:v>10</x:v>
      </x:c>
      <x:c r="E82" s="38" t="n">
        <x:f>'Score Inputs'!G14</x:f>
        <x:v>9</x:v>
      </x:c>
      <x:c r="F82" s="34" t="n">
        <x:f>D82*E82/Rubric!$B$8</x:f>
        <x:v>9</x:v>
      </x:c>
      <x:c r="G82" s="15" t="str">
        <x:v>Current issuer-listed NCRW and relevant graduate/professional preparation are connected to the named delivery practitioner.</x:v>
      </x:c>
      <x:c r="H82" s="15" t="str">
        <x:v>S044 S045</x:v>
      </x:c>
      <x:c r="I82" s="15" t="str">
        <x:v>https://thenrwa.org/Sys/PublicProfile/30439154
https://careercoaches.alumni.columbia.edu/keith_miller</x:v>
      </x:c>
      <x:c r="J82" s="15" t="str">
        <x:v>INFERRED editorial judgment; underlying source classifications retained</x:v>
      </x:c>
    </x:row>
    <x:row r="83" ht="112" customHeight="1">
      <x:c r="A83" s="15" t="str">
        <x:v>C09</x:v>
      </x:c>
      <x:c r="B83" s="15" t="str">
        <x:v>Ivy League Résumés</x:v>
      </x:c>
      <x:c r="C83" s="15" t="str">
        <x:v>Quality standards and commitment</x:v>
      </x:c>
      <x:c r="D83" s="36" t="n">
        <x:f>Rubric!H$6</x:f>
        <x:v>10</x:v>
      </x:c>
      <x:c r="E83" s="38" t="n">
        <x:f>'Score Inputs'!H14</x:f>
        <x:v>9</x:v>
      </x:c>
      <x:c r="F83" s="34" t="n">
        <x:f>D83*E83/Rubric!$B$8</x:f>
        <x:v>9</x:v>
      </x:c>
      <x:c r="G83" s="15" t="str">
        <x:v>The inspected COO résumé connects executive scope, progression and business impact; dense passages and chart labeling are minor limitations.</x:v>
      </x:c>
      <x:c r="H83" s="15" t="str">
        <x:v>S043</x:v>
      </x:c>
      <x:c r="I83" s="15" t="str">
        <x:v>https://www.ivyleaguecoaching.com/files/resume-samples/private-equity-chief-operating-officer-resume-sample.pdf</x:v>
      </x:c>
      <x:c r="J83" s="15" t="str">
        <x:v>INFERRED editorial judgment; underlying source classifications retained</x:v>
      </x:c>
    </x:row>
    <x:row r="84" ht="112" customHeight="1">
      <x:c r="A84" s="15" t="str">
        <x:v>C09</x:v>
      </x:c>
      <x:c r="B84" s="15" t="str">
        <x:v>Ivy League Résumés</x:v>
      </x:c>
      <x:c r="C84" s="15" t="str">
        <x:v>Serious complaints and resolution</x:v>
      </x:c>
      <x:c r="D84" s="36" t="n">
        <x:f>Rubric!I$6</x:f>
        <x:v>10</x:v>
      </x:c>
      <x:c r="E84" s="38" t="n">
        <x:f>'Score Inputs'!I14</x:f>
        <x:v>8.5</x:v>
      </x:c>
      <x:c r="F84" s="34" t="n">
        <x:f>D84*E84/Rubric!$B$8</x:f>
        <x:v>8.5</x:v>
      </x:c>
      <x:c r="G84" s="15" t="str">
        <x:v>Detailed responsiveness accounts and a defined support/guarantee approach support a strong rating; no universal no-complaint claim is assumed.</x:v>
      </x:c>
      <x:c r="H84" s="15" t="str">
        <x:v>S041 S046</x:v>
      </x:c>
      <x:c r="I84" s="15" t="str">
        <x:v>https://www.ivyleaguecoaching.com/results
https://ivyleagueresume.com/knowledge/records/service-page-services.html</x:v>
      </x:c>
      <x:c r="J84" s="15" t="str">
        <x:v>INFERRED editorial judgment; underlying source classifications retained</x:v>
      </x:c>
    </x:row>
    <x:row r="85" ht="112" customHeight="1">
      <x:c r="A85" s="15" t="str">
        <x:v>C09</x:v>
      </x:c>
      <x:c r="B85" s="15" t="str">
        <x:v>Ivy League Résumés</x:v>
      </x:c>
      <x:c r="C85" s="15" t="str">
        <x:v>History and stability</x:v>
      </x:c>
      <x:c r="D85" s="36" t="n">
        <x:f>Rubric!J$6</x:f>
        <x:v>5</x:v>
      </x:c>
      <x:c r="E85" s="38" t="n">
        <x:f>'Score Inputs'!J14</x:f>
        <x:v>8.5</x:v>
      </x:c>
      <x:c r="F85" s="34" t="n">
        <x:f>D85*E85/Rubric!$B$8</x:f>
        <x:v>4.25</x:v>
      </x:c>
      <x:c r="G85" s="15" t="str">
        <x:v>A long founder-led practice and multi-year returning-client evidence support continuity.</x:v>
      </x:c>
      <x:c r="H85" s="15" t="str">
        <x:v>S044 S041</x:v>
      </x:c>
      <x:c r="I85" s="15" t="str">
        <x:v>https://thenrwa.org/Sys/PublicProfile/30439154
https://www.ivyleaguecoaching.com/results</x:v>
      </x:c>
      <x:c r="J85" s="15" t="str">
        <x:v>INFERRED editorial judgment; underlying source classifications retained</x:v>
      </x:c>
    </x:row>
    <x:row r="86" ht="112" customHeight="1">
      <x:c r="A86" s="15" t="str">
        <x:v>C09</x:v>
      </x:c>
      <x:c r="B86" s="15" t="str">
        <x:v>Ivy League Résumés</x:v>
      </x:c>
      <x:c r="C86" s="15" t="str">
        <x:v>Independently supported professional reputation</x:v>
      </x:c>
      <x:c r="D86" s="36" t="n">
        <x:f>Rubric!K$6</x:f>
        <x:v>5</x:v>
      </x:c>
      <x:c r="E86" s="38" t="n">
        <x:f>'Score Inputs'!K14</x:f>
        <x:v>7.5</x:v>
      </x:c>
      <x:c r="F86" s="34" t="n">
        <x:f>D86*E86/Rubric!$B$8</x:f>
        <x:v>3.75</x:v>
      </x:c>
      <x:c r="G86" s="15" t="str">
        <x:v>An externally hosted alumni career-coach profile supports professional participation; it is not a university endorsement or a best-writer award.</x:v>
      </x:c>
      <x:c r="H86" s="15" t="str">
        <x:v>S045</x:v>
      </x:c>
      <x:c r="I86" s="15" t="str">
        <x:v>https://careercoaches.alumni.columbia.edu/keith_miller</x:v>
      </x:c>
      <x:c r="J86" s="15" t="str">
        <x:v>INFERRED editorial judgment; underlying source classifications retained</x:v>
      </x:c>
    </x:row>
    <x:row r="87" ht="112" customHeight="1">
      <x:c r="A87" s="15" t="str">
        <x:v>C10</x:v>
      </x:c>
      <x:c r="B87" s="15" t="str">
        <x:v>JobStars USA</x:v>
      </x:c>
      <x:c r="C87" s="15" t="str">
        <x:v>Credible customer feedback</x:v>
      </x:c>
      <x:c r="D87" s="36" t="n">
        <x:f>Rubric!C$6</x:f>
        <x:v>20</x:v>
      </x:c>
      <x:c r="E87" s="38" t="n">
        <x:f>'Score Inputs'!C15</x:f>
        <x:v>8.5</x:v>
      </x:c>
      <x:c r="F87" s="34" t="n">
        <x:f>D87*E87/Rubric!$B$8</x:f>
        <x:v>17</x:v>
      </x:c>
      <x:c r="G87" s="15" t="str">
        <x:v>Detailed BBB customer accounts support communication and care, with a smaller review footprint than the large platforms.</x:v>
      </x:c>
      <x:c r="H87" s="15" t="str">
        <x:v>S050</x:v>
      </x:c>
      <x:c r="I87" s="15" t="str">
        <x:v>https://www.bbb.org/us/il/chicago/profile/career-counseling/jobstars-usa-llc-0654-90008884/customer-reviews</x:v>
      </x:c>
      <x:c r="J87" s="15" t="str">
        <x:v>INFERRED editorial judgment; underlying source classifications retained</x:v>
      </x:c>
    </x:row>
    <x:row r="88" ht="112" customHeight="1">
      <x:c r="A88" s="15" t="str">
        <x:v>C10</x:v>
      </x:c>
      <x:c r="B88" s="15" t="str">
        <x:v>JobStars USA</x:v>
      </x:c>
      <x:c r="C88" s="15" t="str">
        <x:v>Documented results and track record</x:v>
      </x:c>
      <x:c r="D88" s="36" t="n">
        <x:f>Rubric!D$6</x:f>
        <x:v>15</x:v>
      </x:c>
      <x:c r="E88" s="38" t="n">
        <x:f>'Score Inputs'!D15</x:f>
        <x:v>7.5</x:v>
      </x:c>
      <x:c r="F88" s="34" t="n">
        <x:f>D88*E88/Rubric!$B$8</x:f>
        <x:v>11.25</x:v>
      </x:c>
      <x:c r="G88" s="15" t="str">
        <x:v>Interview, job and repeat-use accounts support practical benefit; distribution-assisted outcomes are not résumé-only causal evidence.</x:v>
      </x:c>
      <x:c r="H88" s="15" t="str">
        <x:v>S050</x:v>
      </x:c>
      <x:c r="I88" s="15" t="str">
        <x:v>https://www.bbb.org/us/il/chicago/profile/career-counseling/jobstars-usa-llc-0654-90008884/customer-reviews</x:v>
      </x:c>
      <x:c r="J88" s="15" t="str">
        <x:v>INFERRED editorial judgment; underlying source classifications retained</x:v>
      </x:c>
    </x:row>
    <x:row r="89" ht="112" customHeight="1">
      <x:c r="A89" s="15" t="str">
        <x:v>C10</x:v>
      </x:c>
      <x:c r="B89" s="15" t="str">
        <x:v>JobStars USA</x:v>
      </x:c>
      <x:c r="C89" s="15" t="str">
        <x:v>Pricing, value and transparency</x:v>
      </x:c>
      <x:c r="D89" s="36" t="n">
        <x:f>Rubric!E$6</x:f>
        <x:v>15</x:v>
      </x:c>
      <x:c r="E89" s="38" t="n">
        <x:f>'Score Inputs'!E15</x:f>
        <x:v>8</x:v>
      </x:c>
      <x:c r="F89" s="34" t="n">
        <x:f>D89*E89/Rubric!$B$8</x:f>
        <x:v>12</x:v>
      </x:c>
      <x:c r="G89" s="15" t="str">
        <x:v>Clearly scoped tiers and a 30-day revision period support good value; higher bundles include additional services rather than a cheaper equivalent.</x:v>
      </x:c>
      <x:c r="H89" s="15" t="str">
        <x:v>S047 S048</x:v>
      </x:c>
      <x:c r="I89" s="15" t="str">
        <x:v>https://jobstars.com/product/resume-writing-bronze/
https://jobstars.com/resume-writing/</x:v>
      </x:c>
      <x:c r="J89" s="15" t="str">
        <x:v>INFERRED editorial judgment; underlying source classifications retained</x:v>
      </x:c>
    </x:row>
    <x:row r="90" ht="112" customHeight="1">
      <x:c r="A90" s="15" t="str">
        <x:v>C10</x:v>
      </x:c>
      <x:c r="B90" s="15" t="str">
        <x:v>JobStars USA</x:v>
      </x:c>
      <x:c r="C90" s="15" t="str">
        <x:v>Service depth and personalization</x:v>
      </x:c>
      <x:c r="D90" s="36" t="n">
        <x:f>Rubric!F$6</x:f>
        <x:v>10</x:v>
      </x:c>
      <x:c r="E90" s="38" t="n">
        <x:f>'Score Inputs'!F15</x:f>
        <x:v>8.5</x:v>
      </x:c>
      <x:c r="F90" s="34" t="n">
        <x:f>D90*E90/Rubric!$B$8</x:f>
        <x:v>8.5</x:v>
      </x:c>
      <x:c r="G90" s="15" t="str">
        <x:v>Phone intake, direct correspondence and a long same-target revision window support substantial personalization.</x:v>
      </x:c>
      <x:c r="H90" s="15" t="str">
        <x:v>S047</x:v>
      </x:c>
      <x:c r="I90" s="15" t="str">
        <x:v>https://jobstars.com/product/resume-writing-bronze/</x:v>
      </x:c>
      <x:c r="J90" s="15" t="str">
        <x:v>INFERRED editorial judgment; underlying source classifications retained</x:v>
      </x:c>
    </x:row>
    <x:row r="91" ht="112" customHeight="1">
      <x:c r="A91" s="15" t="str">
        <x:v>C10</x:v>
      </x:c>
      <x:c r="B91" s="15" t="str">
        <x:v>JobStars USA</x:v>
      </x:c>
      <x:c r="C91" s="15" t="str">
        <x:v>Writer qualifications and credentials</x:v>
      </x:c>
      <x:c r="D91" s="36" t="n">
        <x:f>Rubric!G$6</x:f>
        <x:v>10</x:v>
      </x:c>
      <x:c r="E91" s="38" t="n">
        <x:f>'Score Inputs'!G15</x:f>
        <x:v>7.5</x:v>
      </x:c>
      <x:c r="F91" s="34" t="n">
        <x:f>D91*E91/Rubric!$B$8</x:f>
        <x:v>7.5</x:v>
      </x:c>
      <x:c r="G91" s="15" t="str">
        <x:v>Relevant owner credentials and professional scope are described; assigned-writer issuer status is not established for every engagement.</x:v>
      </x:c>
      <x:c r="H91" s="15" t="str">
        <x:v>S047 S048</x:v>
      </x:c>
      <x:c r="I91" s="15" t="str">
        <x:v>https://jobstars.com/product/resume-writing-bronze/
https://jobstars.com/resume-writing/</x:v>
      </x:c>
      <x:c r="J91" s="15" t="str">
        <x:v>INFERRED editorial judgment; underlying source classifications retained</x:v>
      </x:c>
    </x:row>
    <x:row r="92" ht="112" customHeight="1">
      <x:c r="A92" s="15" t="str">
        <x:v>C10</x:v>
      </x:c>
      <x:c r="B92" s="15" t="str">
        <x:v>JobStars USA</x:v>
      </x:c>
      <x:c r="C92" s="15" t="str">
        <x:v>Quality standards and commitment</x:v>
      </x:c>
      <x:c r="D92" s="36" t="n">
        <x:f>Rubric!H$6</x:f>
        <x:v>10</x:v>
      </x:c>
      <x:c r="E92" s="38" t="n">
        <x:f>'Score Inputs'!H15</x:f>
        <x:v>8</x:v>
      </x:c>
      <x:c r="F92" s="34" t="n">
        <x:f>D92*E92/Rubric!$B$8</x:f>
        <x:v>8</x:v>
      </x:c>
      <x:c r="G92" s="15" t="str">
        <x:v>Process detail and substantive customer descriptions support strong quality control; no full visual example was assessed in this review.</x:v>
      </x:c>
      <x:c r="H92" s="15" t="str">
        <x:v>S047 S050</x:v>
      </x:c>
      <x:c r="I92" s="15" t="str">
        <x:v>https://jobstars.com/product/resume-writing-bronze/
https://www.bbb.org/us/il/chicago/profile/career-counseling/jobstars-usa-llc-0654-90008884/customer-reviews</x:v>
      </x:c>
      <x:c r="J92" s="15" t="str">
        <x:v>INFERRED editorial judgment; underlying source classifications retained</x:v>
      </x:c>
    </x:row>
    <x:row r="93" ht="112" customHeight="1">
      <x:c r="A93" s="15" t="str">
        <x:v>C10</x:v>
      </x:c>
      <x:c r="B93" s="15" t="str">
        <x:v>JobStars USA</x:v>
      </x:c>
      <x:c r="C93" s="15" t="str">
        <x:v>Serious complaints and resolution</x:v>
      </x:c>
      <x:c r="D93" s="36" t="n">
        <x:f>Rubric!I$6</x:f>
        <x:v>10</x:v>
      </x:c>
      <x:c r="E93" s="38" t="n">
        <x:f>'Score Inputs'!I15</x:f>
        <x:v>8.5</x:v>
      </x:c>
      <x:c r="F93" s="34" t="n">
        <x:f>D93*E93/Rubric!$B$8</x:f>
        <x:v>8.5</x:v>
      </x:c>
      <x:c r="G93" s="15" t="str">
        <x:v>Zero displayed BBB complaints, responsive accounts and extended revisions support a strong service-support judgment.</x:v>
      </x:c>
      <x:c r="H93" s="15" t="str">
        <x:v>S049 S050 S047</x:v>
      </x:c>
      <x:c r="I93" s="15" t="str">
        <x:v>https://www.bbb.org/us/il/chicago/profile/career-counseling/jobstars-usa-llc-0654-90008884/complaints
https://www.bbb.org/us/il/chicago/profile/career-counseling/jobstars-usa-llc-0654-90008884/customer-reviews
https://jobstars.com/product/resume-writing-bronze/</x:v>
      </x:c>
      <x:c r="J93" s="15" t="str">
        <x:v>INFERRED editorial judgment; underlying source classifications retained</x:v>
      </x:c>
    </x:row>
    <x:row r="94" ht="112" customHeight="1">
      <x:c r="A94" s="15" t="str">
        <x:v>C10</x:v>
      </x:c>
      <x:c r="B94" s="15" t="str">
        <x:v>JobStars USA</x:v>
      </x:c>
      <x:c r="C94" s="15" t="str">
        <x:v>History and stability</x:v>
      </x:c>
      <x:c r="D94" s="36" t="n">
        <x:f>Rubric!J$6</x:f>
        <x:v>5</x:v>
      </x:c>
      <x:c r="E94" s="38" t="n">
        <x:f>'Score Inputs'!J15</x:f>
        <x:v>8</x:v>
      </x:c>
      <x:c r="F94" s="34" t="n">
        <x:f>D94*E94/Rubric!$B$8</x:f>
        <x:v>4</x:v>
      </x:c>
      <x:c r="G94" s="15" t="str">
        <x:v>A sustained boutique operation and repeat/family-use accounts support continuity.</x:v>
      </x:c>
      <x:c r="H94" s="15" t="str">
        <x:v>S050 S048</x:v>
      </x:c>
      <x:c r="I94" s="15" t="str">
        <x:v>https://www.bbb.org/us/il/chicago/profile/career-counseling/jobstars-usa-llc-0654-90008884/customer-reviews
https://jobstars.com/resume-writing/</x:v>
      </x:c>
      <x:c r="J94" s="15" t="str">
        <x:v>INFERRED editorial judgment; underlying source classifications retained</x:v>
      </x:c>
    </x:row>
    <x:row r="95" ht="112" customHeight="1">
      <x:c r="A95" s="15" t="str">
        <x:v>C10</x:v>
      </x:c>
      <x:c r="B95" s="15" t="str">
        <x:v>JobStars USA</x:v>
      </x:c>
      <x:c r="C95" s="15" t="str">
        <x:v>Independently supported professional reputation</x:v>
      </x:c>
      <x:c r="D95" s="36" t="n">
        <x:f>Rubric!K$6</x:f>
        <x:v>5</x:v>
      </x:c>
      <x:c r="E95" s="38" t="n">
        <x:f>'Score Inputs'!K15</x:f>
        <x:v>7.5</x:v>
      </x:c>
      <x:c r="F95" s="34" t="n">
        <x:f>D95*E95/Rubric!$B$8</x:f>
        <x:v>3.75</x:v>
      </x:c>
      <x:c r="G95" s="15" t="str">
        <x:v>A credible professional presence is supported; BBB stars themselves are not professional awards.</x:v>
      </x:c>
      <x:c r="H95" s="15" t="str">
        <x:v>S048 S050</x:v>
      </x:c>
      <x:c r="I95" s="15" t="str">
        <x:v>https://jobstars.com/resume-writing/
https://www.bbb.org/us/il/chicago/profile/career-counseling/jobstars-usa-llc-0654-90008884/customer-reviews</x:v>
      </x:c>
      <x:c r="J95" s="15" t="str">
        <x:v>INFERRED editorial judgment; underlying source classifications retained</x:v>
      </x:c>
    </x:row>
    <x:row r="96" ht="112" customHeight="1">
      <x:c r="A96" s="15" t="str">
        <x:v>C11</x:v>
      </x:c>
      <x:c r="B96" s="15" t="str">
        <x:v>Resume Professional Writers</x:v>
      </x:c>
      <x:c r="C96" s="15" t="str">
        <x:v>Credible customer feedback</x:v>
      </x:c>
      <x:c r="D96" s="36" t="n">
        <x:f>Rubric!C$6</x:f>
        <x:v>20</x:v>
      </x:c>
      <x:c r="E96" s="38" t="n">
        <x:f>'Score Inputs'!C16</x:f>
        <x:v>6.5</x:v>
      </x:c>
      <x:c r="F96" s="34" t="n">
        <x:f>D96*E96/Rubric!$B$8</x:f>
        <x:v>13</x:v>
      </x:c>
      <x:c r="G96" s="15" t="str">
        <x:v>Positive service accounts coexist with grammar, formatting and delivery criticisms; little recent independent feedback limits a stronger assessment.</x:v>
      </x:c>
      <x:c r="H96" s="15" t="str">
        <x:v>S054</x:v>
      </x:c>
      <x:c r="I96" s="15" t="str">
        <x:v>https://www.trustpilot.com/review/www.resumeprofessionalwriters.com</x:v>
      </x:c>
      <x:c r="J96" s="15" t="str">
        <x:v>INFERRED editorial judgment; underlying source classifications retained</x:v>
      </x:c>
    </x:row>
    <x:row r="97" ht="112" customHeight="1">
      <x:c r="A97" s="15" t="str">
        <x:v>C11</x:v>
      </x:c>
      <x:c r="B97" s="15" t="str">
        <x:v>Resume Professional Writers</x:v>
      </x:c>
      <x:c r="C97" s="15" t="str">
        <x:v>Documented results and track record</x:v>
      </x:c>
      <x:c r="D97" s="36" t="n">
        <x:f>Rubric!D$6</x:f>
        <x:v>15</x:v>
      </x:c>
      <x:c r="E97" s="38" t="n">
        <x:f>'Score Inputs'!D16</x:f>
        <x:v>6</x:v>
      </x:c>
      <x:c r="F97" s="34" t="n">
        <x:f>D97*E97/Rubric!$B$8</x:f>
        <x:v>9</x:v>
      </x:c>
      <x:c r="G97" s="15" t="str">
        <x:v>Available accounts support some customer benefit, but specific current interview/offer evidence is relatively thin.</x:v>
      </x:c>
      <x:c r="H97" s="15" t="str">
        <x:v>S054</x:v>
      </x:c>
      <x:c r="I97" s="15" t="str">
        <x:v>https://www.trustpilot.com/review/www.resumeprofessionalwriters.com</x:v>
      </x:c>
      <x:c r="J97" s="15" t="str">
        <x:v>INFERRED editorial judgment; underlying source classifications retained</x:v>
      </x:c>
    </x:row>
    <x:row r="98" ht="112" customHeight="1">
      <x:c r="A98" s="15" t="str">
        <x:v>C11</x:v>
      </x:c>
      <x:c r="B98" s="15" t="str">
        <x:v>Resume Professional Writers</x:v>
      </x:c>
      <x:c r="C98" s="15" t="str">
        <x:v>Pricing, value and transparency</x:v>
      </x:c>
      <x:c r="D98" s="36" t="n">
        <x:f>Rubric!E$6</x:f>
        <x:v>15</x:v>
      </x:c>
      <x:c r="E98" s="38" t="n">
        <x:f>'Score Inputs'!E16</x:f>
        <x:v>7.5</x:v>
      </x:c>
      <x:c r="F98" s="34" t="n">
        <x:f>D98*E98/Rubric!$B$8</x:f>
        <x:v>11.25</x:v>
      </x:c>
      <x:c r="G98" s="15" t="str">
        <x:v>Low published fees and broad revisions provide access, but weaker observed craft reduces the value of the inexpensive offer.</x:v>
      </x:c>
      <x:c r="H98" s="15" t="str">
        <x:v>S051 S052</x:v>
      </x:c>
      <x:c r="I98" s="15" t="str">
        <x:v>https://www.resumeprofessionalwriters.com/faq/
https://www.resumeprofessionalwriters.com/project-agreement/</x:v>
      </x:c>
      <x:c r="J98" s="15" t="str">
        <x:v>INFERRED editorial judgment; underlying source classifications retained</x:v>
      </x:c>
    </x:row>
    <x:row r="99" ht="112" customHeight="1">
      <x:c r="A99" s="15" t="str">
        <x:v>C11</x:v>
      </x:c>
      <x:c r="B99" s="15" t="str">
        <x:v>Resume Professional Writers</x:v>
      </x:c>
      <x:c r="C99" s="15" t="str">
        <x:v>Service depth and personalization</x:v>
      </x:c>
      <x:c r="D99" s="36" t="n">
        <x:f>Rubric!F$6</x:f>
        <x:v>10</x:v>
      </x:c>
      <x:c r="E99" s="38" t="n">
        <x:f>'Score Inputs'!F16</x:f>
        <x:v>6.5</x:v>
      </x:c>
      <x:c r="F99" s="34" t="n">
        <x:f>D99*E99/Rubric!$B$8</x:f>
        <x:v>6.5</x:v>
      </x:c>
      <x:c r="G99" s="15" t="str">
        <x:v>Questionnaire, portal and scheduled communication allow customization, with less clearly documented deep discovery.</x:v>
      </x:c>
      <x:c r="H99" s="15" t="str">
        <x:v>S051</x:v>
      </x:c>
      <x:c r="I99" s="15" t="str">
        <x:v>https://www.resumeprofessionalwriters.com/faq/</x:v>
      </x:c>
      <x:c r="J99" s="15" t="str">
        <x:v>INFERRED editorial judgment; underlying source classifications retained</x:v>
      </x:c>
    </x:row>
    <x:row r="100" ht="112" customHeight="1">
      <x:c r="A100" s="15" t="str">
        <x:v>C11</x:v>
      </x:c>
      <x:c r="B100" s="15" t="str">
        <x:v>Resume Professional Writers</x:v>
      </x:c>
      <x:c r="C100" s="15" t="str">
        <x:v>Writer qualifications and credentials</x:v>
      </x:c>
      <x:c r="D100" s="36" t="n">
        <x:f>Rubric!G$6</x:f>
        <x:v>10</x:v>
      </x:c>
      <x:c r="E100" s="38" t="n">
        <x:f>'Score Inputs'!G16</x:f>
        <x:v>6.5</x:v>
      </x:c>
      <x:c r="F100" s="34" t="n">
        <x:f>D100*E100/Rubric!$B$8</x:f>
        <x:v>6.5</x:v>
      </x:c>
      <x:c r="G100" s="15" t="str">
        <x:v>The actual assigned writer and external credential are not clearly identified; the disclosed professional service supports a competent, not elite, rating.</x:v>
      </x:c>
      <x:c r="H100" s="15" t="str">
        <x:v>S051</x:v>
      </x:c>
      <x:c r="I100" s="15" t="str">
        <x:v>https://www.resumeprofessionalwriters.com/faq/</x:v>
      </x:c>
      <x:c r="J100" s="15" t="str">
        <x:v>INFERRED editorial judgment; underlying source classifications retained</x:v>
      </x:c>
    </x:row>
    <x:row r="101" ht="112" customHeight="1">
      <x:c r="A101" s="15" t="str">
        <x:v>C11</x:v>
      </x:c>
      <x:c r="B101" s="15" t="str">
        <x:v>Resume Professional Writers</x:v>
      </x:c>
      <x:c r="C101" s="15" t="str">
        <x:v>Quality standards and commitment</x:v>
      </x:c>
      <x:c r="D101" s="36" t="n">
        <x:f>Rubric!H$6</x:f>
        <x:v>10</x:v>
      </x:c>
      <x:c r="E101" s="38" t="n">
        <x:f>'Score Inputs'!H16</x:f>
        <x:v>5.5</x:v>
      </x:c>
      <x:c r="F101" s="34" t="n">
        <x:f>D101*E101/Rubric!$B$8</x:f>
        <x:v>5.5</x:v>
      </x:c>
      <x:c r="G101" s="15" t="str">
        <x:v>The inspected financial-analyst page is duty-heavy and contains a visible grammatical weakness; this observation is not generalized to every customer.</x:v>
      </x:c>
      <x:c r="H101" s="15" t="str">
        <x:v>S053</x:v>
      </x:c>
      <x:c r="I101" s="15" t="str">
        <x:v>https://www.resumeprofessionalwriters.com/resume-example/financial-analyst-resume-example.pdf</x:v>
      </x:c>
      <x:c r="J101" s="15" t="str">
        <x:v>INFERRED editorial judgment; underlying source classifications retained</x:v>
      </x:c>
    </x:row>
    <x:row r="102" ht="112" customHeight="1">
      <x:c r="A102" s="15" t="str">
        <x:v>C11</x:v>
      </x:c>
      <x:c r="B102" s="15" t="str">
        <x:v>Resume Professional Writers</x:v>
      </x:c>
      <x:c r="C102" s="15" t="str">
        <x:v>Serious complaints and resolution</x:v>
      </x:c>
      <x:c r="D102" s="36" t="n">
        <x:f>Rubric!I$6</x:f>
        <x:v>10</x:v>
      </x:c>
      <x:c r="E102" s="38" t="n">
        <x:f>'Score Inputs'!I16</x:f>
        <x:v>6.5</x:v>
      </x:c>
      <x:c r="F102" s="34" t="n">
        <x:f>D102*E102/Rubric!$B$8</x:f>
        <x:v>6.5</x:v>
      </x:c>
      <x:c r="G102" s="15" t="str">
        <x:v>A graduated refund schedule is useful; reported revision and delivery friction limit the overall remedy assessment.</x:v>
      </x:c>
      <x:c r="H102" s="15" t="str">
        <x:v>S052 S054</x:v>
      </x:c>
      <x:c r="I102" s="15" t="str">
        <x:v>https://www.resumeprofessionalwriters.com/project-agreement/
https://www.trustpilot.com/review/www.resumeprofessionalwriters.com</x:v>
      </x:c>
      <x:c r="J102" s="15" t="str">
        <x:v>INFERRED editorial judgment; underlying source classifications retained</x:v>
      </x:c>
    </x:row>
    <x:row r="103" ht="112" customHeight="1">
      <x:c r="A103" s="15" t="str">
        <x:v>C11</x:v>
      </x:c>
      <x:c r="B103" s="15" t="str">
        <x:v>Resume Professional Writers</x:v>
      </x:c>
      <x:c r="C103" s="15" t="str">
        <x:v>History and stability</x:v>
      </x:c>
      <x:c r="D103" s="36" t="n">
        <x:f>Rubric!J$6</x:f>
        <x:v>5</x:v>
      </x:c>
      <x:c r="E103" s="38" t="n">
        <x:f>'Score Inputs'!J16</x:f>
        <x:v>9</x:v>
      </x:c>
      <x:c r="F103" s="34" t="n">
        <x:f>D103*E103/Rubric!$B$8</x:f>
        <x:v>4.5</x:v>
      </x:c>
      <x:c r="G103" s="15" t="str">
        <x:v>A longstanding operating service and historical customer record support continuity independent of current writing concerns.</x:v>
      </x:c>
      <x:c r="H103" s="15" t="str">
        <x:v>S051 S054</x:v>
      </x:c>
      <x:c r="I103" s="15" t="str">
        <x:v>https://www.resumeprofessionalwriters.com/faq/
https://www.trustpilot.com/review/www.resumeprofessionalwriters.com</x:v>
      </x:c>
      <x:c r="J103" s="15" t="str">
        <x:v>INFERRED editorial judgment; underlying source classifications retained</x:v>
      </x:c>
    </x:row>
    <x:row r="104" ht="112" customHeight="1">
      <x:c r="A104" s="15" t="str">
        <x:v>C11</x:v>
      </x:c>
      <x:c r="B104" s="15" t="str">
        <x:v>Resume Professional Writers</x:v>
      </x:c>
      <x:c r="C104" s="15" t="str">
        <x:v>Independently supported professional reputation</x:v>
      </x:c>
      <x:c r="D104" s="36" t="n">
        <x:f>Rubric!K$6</x:f>
        <x:v>5</x:v>
      </x:c>
      <x:c r="E104" s="38" t="n">
        <x:f>'Score Inputs'!K16</x:f>
        <x:v>6</x:v>
      </x:c>
      <x:c r="F104" s="34" t="n">
        <x:f>D104*E104/Rubric!$B$8</x:f>
        <x:v>3</x:v>
      </x:c>
      <x:c r="G104" s="15" t="str">
        <x:v>Public market presence is established, but strong external professional-contribution evidence is limited in the examined record.</x:v>
      </x:c>
      <x:c r="H104" s="15" t="str">
        <x:v>S051 S054</x:v>
      </x:c>
      <x:c r="I104" s="15" t="str">
        <x:v>https://www.resumeprofessionalwriters.com/faq/
https://www.trustpilot.com/review/www.resumeprofessionalwriters.com</x:v>
      </x:c>
      <x:c r="J104" s="15" t="str">
        <x:v>INFERRED editorial judgment; underlying source classifications retained</x:v>
      </x:c>
    </x:row>
    <x:row r="105" ht="112" customHeight="1">
      <x:c r="A105" s="15" t="str">
        <x:v>C12</x:v>
      </x:c>
      <x:c r="B105" s="15" t="str">
        <x:v>iCareerSolutions</x:v>
      </x:c>
      <x:c r="C105" s="15" t="str">
        <x:v>Credible customer feedback</x:v>
      </x:c>
      <x:c r="D105" s="36" t="n">
        <x:f>Rubric!C$6</x:f>
        <x:v>20</x:v>
      </x:c>
      <x:c r="E105" s="38" t="n">
        <x:f>'Score Inputs'!C17</x:f>
        <x:v>8</x:v>
      </x:c>
      <x:c r="F105" s="34" t="n">
        <x:f>D105*E105/Rubric!$B$8</x:f>
        <x:v>16</x:v>
      </x:c>
      <x:c r="G105" s="15" t="str">
        <x:v>Specific favorable accounts and the current BBB record support a strong experience case; Trustpilot recency is limited.</x:v>
      </x:c>
      <x:c r="H105" s="15" t="str">
        <x:v>S059 S057</x:v>
      </x:c>
      <x:c r="I105" s="15" t="str">
        <x:v>https://www.trustpilot.com/review/icareersolutions.com
https://www.bbb.org/us/ny/new-york/profile/career-counseling/icareersolutions-0121-87142363</x:v>
      </x:c>
      <x:c r="J105" s="15" t="str">
        <x:v>INFERRED editorial judgment; underlying source classifications retained</x:v>
      </x:c>
    </x:row>
    <x:row r="106" ht="112" customHeight="1">
      <x:c r="A106" s="15" t="str">
        <x:v>C12</x:v>
      </x:c>
      <x:c r="B106" s="15" t="str">
        <x:v>iCareerSolutions</x:v>
      </x:c>
      <x:c r="C106" s="15" t="str">
        <x:v>Documented results and track record</x:v>
      </x:c>
      <x:c r="D106" s="36" t="n">
        <x:f>Rubric!D$6</x:f>
        <x:v>15</x:v>
      </x:c>
      <x:c r="E106" s="38" t="n">
        <x:f>'Score Inputs'!D17</x:f>
        <x:v>7.5</x:v>
      </x:c>
      <x:c r="F106" s="34" t="n">
        <x:f>D106*E106/Rubric!$B$8</x:f>
        <x:v>11.25</x:v>
      </x:c>
      <x:c r="G106" s="15" t="str">
        <x:v>Detailed customer outcomes support benefit; salary/interview percentages and recruiting outcomes are not treated as résumé-only measured results.</x:v>
      </x:c>
      <x:c r="H106" s="15" t="str">
        <x:v>S059 S055</x:v>
      </x:c>
      <x:c r="I106" s="15" t="str">
        <x:v>https://www.trustpilot.com/review/icareersolutions.com
https://icareersolutions.com/professional-resume-writing-services/</x:v>
      </x:c>
      <x:c r="J106" s="15" t="str">
        <x:v>INFERRED editorial judgment; underlying source classifications retained</x:v>
      </x:c>
    </x:row>
    <x:row r="107" ht="112" customHeight="1">
      <x:c r="A107" s="15" t="str">
        <x:v>C12</x:v>
      </x:c>
      <x:c r="B107" s="15" t="str">
        <x:v>iCareerSolutions</x:v>
      </x:c>
      <x:c r="C107" s="15" t="str">
        <x:v>Pricing, value and transparency</x:v>
      </x:c>
      <x:c r="D107" s="36" t="n">
        <x:f>Rubric!E$6</x:f>
        <x:v>15</x:v>
      </x:c>
      <x:c r="E107" s="38" t="n">
        <x:f>'Score Inputs'!E17</x:f>
        <x:v>8</x:v>
      </x:c>
      <x:c r="F107" s="34" t="n">
        <x:f>D107*E107/Rubric!$B$8</x:f>
        <x:v>12</x:v>
      </x:c>
      <x:c r="G107" s="15" t="str">
        <x:v>Professional tiers combine substantive intake with coordinated documents at competitive prices for that depth.</x:v>
      </x:c>
      <x:c r="H107" s="15" t="str">
        <x:v>S055</x:v>
      </x:c>
      <x:c r="I107" s="15" t="str">
        <x:v>https://icareersolutions.com/professional-resume-writing-services/</x:v>
      </x:c>
      <x:c r="J107" s="15" t="str">
        <x:v>INFERRED editorial judgment; underlying source classifications retained</x:v>
      </x:c>
    </x:row>
    <x:row r="108" ht="112" customHeight="1">
      <x:c r="A108" s="15" t="str">
        <x:v>C12</x:v>
      </x:c>
      <x:c r="B108" s="15" t="str">
        <x:v>iCareerSolutions</x:v>
      </x:c>
      <x:c r="C108" s="15" t="str">
        <x:v>Service depth and personalization</x:v>
      </x:c>
      <x:c r="D108" s="36" t="n">
        <x:f>Rubric!F$6</x:f>
        <x:v>10</x:v>
      </x:c>
      <x:c r="E108" s="38" t="n">
        <x:f>'Score Inputs'!F17</x:f>
        <x:v>9</x:v>
      </x:c>
      <x:c r="F108" s="34" t="n">
        <x:f>D108*E108/Rubric!$B$8</x:f>
        <x:v>9</x:v>
      </x:c>
      <x:c r="G108" s="15" t="str">
        <x:v>Substantial consultation and senior-writer involvement support unusually individualized professional positioning.</x:v>
      </x:c>
      <x:c r="H108" s="15" t="str">
        <x:v>S055</x:v>
      </x:c>
      <x:c r="I108" s="15" t="str">
        <x:v>https://icareersolutions.com/professional-resume-writing-services/</x:v>
      </x:c>
      <x:c r="J108" s="15" t="str">
        <x:v>INFERRED editorial judgment; underlying source classifications retained</x:v>
      </x:c>
    </x:row>
    <x:row r="109" ht="112" customHeight="1">
      <x:c r="A109" s="15" t="str">
        <x:v>C12</x:v>
      </x:c>
      <x:c r="B109" s="15" t="str">
        <x:v>iCareerSolutions</x:v>
      </x:c>
      <x:c r="C109" s="15" t="str">
        <x:v>Writer qualifications and credentials</x:v>
      </x:c>
      <x:c r="D109" s="36" t="n">
        <x:f>Rubric!G$6</x:f>
        <x:v>10</x:v>
      </x:c>
      <x:c r="E109" s="38" t="n">
        <x:f>'Score Inputs'!G17</x:f>
        <x:v>8.5</x:v>
      </x:c>
      <x:c r="F109" s="34" t="n">
        <x:f>D109*E109/Rubric!$B$8</x:f>
        <x:v>8.5</x:v>
      </x:c>
      <x:c r="G109" s="15" t="str">
        <x:v>Specialist expertise and founder involvement support a strong rating; not every advertised award or assigned-writer credential is independently verified.</x:v>
      </x:c>
      <x:c r="H109" s="15" t="str">
        <x:v>S055</x:v>
      </x:c>
      <x:c r="I109" s="15" t="str">
        <x:v>https://icareersolutions.com/professional-resume-writing-services/</x:v>
      </x:c>
      <x:c r="J109" s="15" t="str">
        <x:v>INFERRED editorial judgment; underlying source classifications retained</x:v>
      </x:c>
    </x:row>
    <x:row r="110" ht="112" customHeight="1">
      <x:c r="A110" s="15" t="str">
        <x:v>C12</x:v>
      </x:c>
      <x:c r="B110" s="15" t="str">
        <x:v>iCareerSolutions</x:v>
      </x:c>
      <x:c r="C110" s="15" t="str">
        <x:v>Quality standards and commitment</x:v>
      </x:c>
      <x:c r="D110" s="36" t="n">
        <x:f>Rubric!H$6</x:f>
        <x:v>10</x:v>
      </x:c>
      <x:c r="E110" s="38" t="n">
        <x:f>'Score Inputs'!H17</x:f>
        <x:v>8</x:v>
      </x:c>
      <x:c r="F110" s="34" t="n">
        <x:f>D110*E110/Rubric!$B$8</x:f>
        <x:v>8</x:v>
      </x:c>
      <x:c r="G110" s="15" t="str">
        <x:v>Customer descriptions of careful discovery and editing corroborate a strong process; no complete sample was visually assessed.</x:v>
      </x:c>
      <x:c r="H110" s="15" t="str">
        <x:v>S059 S055</x:v>
      </x:c>
      <x:c r="I110" s="15" t="str">
        <x:v>https://www.trustpilot.com/review/icareersolutions.com
https://icareersolutions.com/professional-resume-writing-services/</x:v>
      </x:c>
      <x:c r="J110" s="15" t="str">
        <x:v>INFERRED editorial judgment; underlying source classifications retained</x:v>
      </x:c>
    </x:row>
    <x:row r="111" ht="112" customHeight="1">
      <x:c r="A111" s="15" t="str">
        <x:v>C12</x:v>
      </x:c>
      <x:c r="B111" s="15" t="str">
        <x:v>iCareerSolutions</x:v>
      </x:c>
      <x:c r="C111" s="15" t="str">
        <x:v>Serious complaints and resolution</x:v>
      </x:c>
      <x:c r="D111" s="36" t="n">
        <x:f>Rubric!I$6</x:f>
        <x:v>10</x:v>
      </x:c>
      <x:c r="E111" s="38" t="n">
        <x:f>'Score Inputs'!I17</x:f>
        <x:v>8</x:v>
      </x:c>
      <x:c r="F111" s="34" t="n">
        <x:f>D111*E111/Rubric!$B$8</x:f>
        <x:v>8</x:v>
      </x:c>
      <x:c r="G111" s="15" t="str">
        <x:v>The current zero-complaint BBB record is favorable; nonrefundable writing terms keep support below the most flexible arrangements.</x:v>
      </x:c>
      <x:c r="H111" s="15" t="str">
        <x:v>S058 S056</x:v>
      </x:c>
      <x:c r="I111" s="15" t="str">
        <x:v>https://www.bbb.org/us/ny/new-york/profile/career-counseling/icareersolutions-0121-87142363/complaints
https://icareersolutions.com/terms-and-conditions/</x:v>
      </x:c>
      <x:c r="J111" s="15" t="str">
        <x:v>INFERRED editorial judgment; underlying source classifications retained</x:v>
      </x:c>
    </x:row>
    <x:row r="112" ht="112" customHeight="1">
      <x:c r="A112" s="15" t="str">
        <x:v>C12</x:v>
      </x:c>
      <x:c r="B112" s="15" t="str">
        <x:v>iCareerSolutions</x:v>
      </x:c>
      <x:c r="C112" s="15" t="str">
        <x:v>History and stability</x:v>
      </x:c>
      <x:c r="D112" s="36" t="n">
        <x:f>Rubric!J$6</x:f>
        <x:v>5</x:v>
      </x:c>
      <x:c r="E112" s="38" t="n">
        <x:f>'Score Inputs'!J17</x:f>
        <x:v>8</x:v>
      </x:c>
      <x:c r="F112" s="34" t="n">
        <x:f>D112*E112/Rubric!$B$8</x:f>
        <x:v>4</x:v>
      </x:c>
      <x:c r="G112" s="15" t="str">
        <x:v>The sustained specialist practice and older detailed customer accounts support an established operating history.</x:v>
      </x:c>
      <x:c r="H112" s="15" t="str">
        <x:v>S059 S055</x:v>
      </x:c>
      <x:c r="I112" s="15" t="str">
        <x:v>https://www.trustpilot.com/review/icareersolutions.com
https://icareersolutions.com/professional-resume-writing-services/</x:v>
      </x:c>
      <x:c r="J112" s="15" t="str">
        <x:v>INFERRED editorial judgment; underlying source classifications retained</x:v>
      </x:c>
    </x:row>
    <x:row r="113" ht="112" customHeight="1">
      <x:c r="A113" s="15" t="str">
        <x:v>C12</x:v>
      </x:c>
      <x:c r="B113" s="15" t="str">
        <x:v>iCareerSolutions</x:v>
      </x:c>
      <x:c r="C113" s="15" t="str">
        <x:v>Independently supported professional reputation</x:v>
      </x:c>
      <x:c r="D113" s="36" t="n">
        <x:f>Rubric!K$6</x:f>
        <x:v>5</x:v>
      </x:c>
      <x:c r="E113" s="38" t="n">
        <x:f>'Score Inputs'!K17</x:f>
        <x:v>7.5</x:v>
      </x:c>
      <x:c r="F113" s="34" t="n">
        <x:f>D113*E113/Rubric!$B$8</x:f>
        <x:v>3.75</x:v>
      </x:c>
      <x:c r="G113" s="15" t="str">
        <x:v>Professional visibility is credible; founder-linked association recognition is not treated as wholly independent validation.</x:v>
      </x:c>
      <x:c r="H113" s="15" t="str">
        <x:v>S055 S057</x:v>
      </x:c>
      <x:c r="I113" s="15" t="str">
        <x:v>https://icareersolutions.com/professional-resume-writing-services/
https://www.bbb.org/us/ny/new-york/profile/career-counseling/icareersolutions-0121-87142363</x:v>
      </x:c>
      <x:c r="J113" s="15" t="str">
        <x:v>INFERRED editorial judgment; underlying source classifications retained</x:v>
      </x:c>
    </x:row>
    <x:row r="114" ht="112" customHeight="1">
      <x:c r="A114" s="15" t="str">
        <x:v>C13</x:v>
      </x:c>
      <x:c r="B114" s="15" t="str">
        <x:v>Distinctive Career Services</x:v>
      </x:c>
      <x:c r="C114" s="15" t="str">
        <x:v>Credible customer feedback</x:v>
      </x:c>
      <x:c r="D114" s="36" t="n">
        <x:f>Rubric!C$6</x:f>
        <x:v>20</x:v>
      </x:c>
      <x:c r="E114" s="38" t="n">
        <x:f>'Score Inputs'!C18</x:f>
        <x:v>8</x:v>
      </x:c>
      <x:c r="F114" s="34" t="n">
        <x:f>D114*E114/Rubric!$B$8</x:f>
        <x:v>16</x:v>
      </x:c>
      <x:c r="G114" s="15" t="str">
        <x:v>Detailed testimonials and a disclosed historical customer survey provide substantive support, though they are company-selected and dated.</x:v>
      </x:c>
      <x:c r="H114" s="15" t="str">
        <x:v>S060</x:v>
      </x:c>
      <x:c r="I114" s="15" t="str">
        <x:v>https://www.distinctiveweb.com/resume-service-reviews/</x:v>
      </x:c>
      <x:c r="J114" s="15" t="str">
        <x:v>INFERRED editorial judgment; underlying source classifications retained</x:v>
      </x:c>
    </x:row>
    <x:row r="115" ht="112" customHeight="1">
      <x:c r="A115" s="15" t="str">
        <x:v>C13</x:v>
      </x:c>
      <x:c r="B115" s="15" t="str">
        <x:v>Distinctive Career Services</x:v>
      </x:c>
      <x:c r="C115" s="15" t="str">
        <x:v>Documented results and track record</x:v>
      </x:c>
      <x:c r="D115" s="36" t="n">
        <x:f>Rubric!D$6</x:f>
        <x:v>15</x:v>
      </x:c>
      <x:c r="E115" s="38" t="n">
        <x:f>'Score Inputs'!D18</x:f>
        <x:v>8</x:v>
      </x:c>
      <x:c r="F115" s="34" t="n">
        <x:f>D115*E115/Rubric!$B$8</x:f>
        <x:v>12</x:v>
      </x:c>
      <x:c r="G115" s="15" t="str">
        <x:v>Repeat engagements, referrals and career-transition accounts support a durable track record without a current population outcome claim.</x:v>
      </x:c>
      <x:c r="H115" s="15" t="str">
        <x:v>S060</x:v>
      </x:c>
      <x:c r="I115" s="15" t="str">
        <x:v>https://www.distinctiveweb.com/resume-service-reviews/</x:v>
      </x:c>
      <x:c r="J115" s="15" t="str">
        <x:v>INFERRED editorial judgment; underlying source classifications retained</x:v>
      </x:c>
    </x:row>
    <x:row r="116" ht="112" customHeight="1">
      <x:c r="A116" s="15" t="str">
        <x:v>C13</x:v>
      </x:c>
      <x:c r="B116" s="15" t="str">
        <x:v>Distinctive Career Services</x:v>
      </x:c>
      <x:c r="C116" s="15" t="str">
        <x:v>Pricing, value and transparency</x:v>
      </x:c>
      <x:c r="D116" s="36" t="n">
        <x:f>Rubric!E$6</x:f>
        <x:v>15</x:v>
      </x:c>
      <x:c r="E116" s="38" t="n">
        <x:f>'Score Inputs'!E18</x:f>
        <x:v>7.5</x:v>
      </x:c>
      <x:c r="F116" s="34" t="n">
        <x:f>D116*E116/Rubric!$B$8</x:f>
        <x:v>11.25</x:v>
      </x:c>
      <x:c r="G116" s="15" t="str">
        <x:v>Quoted branding engagements have meaningful depth; value is judged on scope and terms, not an invented current fixed price.</x:v>
      </x:c>
      <x:c r="H116" s="15" t="str">
        <x:v>S060 S061</x:v>
      </x:c>
      <x:c r="I116" s="15" t="str">
        <x:v>https://www.distinctiveweb.com/resume-service-reviews/
https://www.distinctiveweb.com/project-examples/c-level-executive-resume-example/</x:v>
      </x:c>
      <x:c r="J116" s="15" t="str">
        <x:v>INFERRED editorial judgment; underlying source classifications retained</x:v>
      </x:c>
    </x:row>
    <x:row r="117" ht="112" customHeight="1">
      <x:c r="A117" s="15" t="str">
        <x:v>C13</x:v>
      </x:c>
      <x:c r="B117" s="15" t="str">
        <x:v>Distinctive Career Services</x:v>
      </x:c>
      <x:c r="C117" s="15" t="str">
        <x:v>Service depth and personalization</x:v>
      </x:c>
      <x:c r="D117" s="36" t="n">
        <x:f>Rubric!F$6</x:f>
        <x:v>10</x:v>
      </x:c>
      <x:c r="E117" s="38" t="n">
        <x:f>'Score Inputs'!F18</x:f>
        <x:v>8.5</x:v>
      </x:c>
      <x:c r="F117" s="34" t="n">
        <x:f>D117*E117/Rubric!$B$8</x:f>
        <x:v>8.5</x:v>
      </x:c>
      <x:c r="G117" s="15" t="str">
        <x:v>Detailed career branding and clarification support substantial customization, with a team rather than universally exclusive founder authorship.</x:v>
      </x:c>
      <x:c r="H117" s="15" t="str">
        <x:v>S061 S117</x:v>
      </x:c>
      <x:c r="I117" s="15" t="str">
        <x:v>https://www.distinctiveweb.com/project-examples/c-level-executive-resume-example/
https://www.thenrwa.org/Sys/PublicProfile/8775749/3660697</x:v>
      </x:c>
      <x:c r="J117" s="15" t="str">
        <x:v>INFERRED editorial judgment; underlying source classifications retained</x:v>
      </x:c>
    </x:row>
    <x:row r="118" ht="112" customHeight="1">
      <x:c r="A118" s="15" t="str">
        <x:v>C13</x:v>
      </x:c>
      <x:c r="B118" s="15" t="str">
        <x:v>Distinctive Career Services</x:v>
      </x:c>
      <x:c r="C118" s="15" t="str">
        <x:v>Writer qualifications and credentials</x:v>
      </x:c>
      <x:c r="D118" s="36" t="n">
        <x:f>Rubric!G$6</x:f>
        <x:v>10</x:v>
      </x:c>
      <x:c r="E118" s="38" t="n">
        <x:f>'Score Inputs'!G18</x:f>
        <x:v>8.5</x:v>
      </x:c>
      <x:c r="F118" s="34" t="n">
        <x:f>D118*E118/Rubric!$B$8</x:f>
        <x:v>8.5</x:v>
      </x:c>
      <x:c r="G118" s="15" t="str">
        <x:v>Founder preparation and professional leadership are strong; the old NCRW renewal field is unresolved and does not certify every team writer.</x:v>
      </x:c>
      <x:c r="H118" s="15" t="str">
        <x:v>S117</x:v>
      </x:c>
      <x:c r="I118" s="15" t="str">
        <x:v>https://www.thenrwa.org/Sys/PublicProfile/8775749/3660697</x:v>
      </x:c>
      <x:c r="J118" s="15" t="str">
        <x:v>INFERRED editorial judgment; underlying source classifications retained</x:v>
      </x:c>
    </x:row>
    <x:row r="119" ht="112" customHeight="1">
      <x:c r="A119" s="15" t="str">
        <x:v>C13</x:v>
      </x:c>
      <x:c r="B119" s="15" t="str">
        <x:v>Distinctive Career Services</x:v>
      </x:c>
      <x:c r="C119" s="15" t="str">
        <x:v>Quality standards and commitment</x:v>
      </x:c>
      <x:c r="D119" s="36" t="n">
        <x:f>Rubric!H$6</x:f>
        <x:v>10</x:v>
      </x:c>
      <x:c r="E119" s="38" t="n">
        <x:f>'Score Inputs'!H18</x:f>
        <x:v>9</x:v>
      </x:c>
      <x:c r="F119" s="34" t="n">
        <x:f>D119*E119/Rubric!$B$8</x:f>
        <x:v>9</x:v>
      </x:c>
      <x:c r="G119" s="15" t="str">
        <x:v>The inspected three-page CEO sample demonstrates substantive turnaround and acquisition narratives; density and historical age limit generalization.</x:v>
      </x:c>
      <x:c r="H119" s="15" t="str">
        <x:v>S062 S063 S064</x:v>
      </x:c>
      <x:c r="I119" s="15" t="str">
        <x:v>https://www.distinctiveweb.com/wp-content/uploads/2019/11/C-level-Executive-Resume_Page_1.jpg
https://www.distinctiveweb.com/wp-content/uploads/2019/11/C-level-Executive-Resume_Page_2.jpg
https://www.distinctiveweb.com/wp-content/uploads/2019/11/C-level-Executive-Resume_Page_3.jpg</x:v>
      </x:c>
      <x:c r="J119" s="15" t="str">
        <x:v>INFERRED editorial judgment; underlying source classifications retained</x:v>
      </x:c>
    </x:row>
    <x:row r="120" ht="112" customHeight="1">
      <x:c r="A120" s="15" t="str">
        <x:v>C13</x:v>
      </x:c>
      <x:c r="B120" s="15" t="str">
        <x:v>Distinctive Career Services</x:v>
      </x:c>
      <x:c r="C120" s="15" t="str">
        <x:v>Serious complaints and resolution</x:v>
      </x:c>
      <x:c r="D120" s="36" t="n">
        <x:f>Rubric!I$6</x:f>
        <x:v>10</x:v>
      </x:c>
      <x:c r="E120" s="38" t="n">
        <x:f>'Score Inputs'!I18</x:f>
        <x:v>8</x:v>
      </x:c>
      <x:c r="F120" s="34" t="n">
        <x:f>D120*E120/Rubric!$B$8</x:f>
        <x:v>8</x:v>
      </x:c>
      <x:c r="G120" s="15" t="str">
        <x:v>Detailed service accounts and iterative collaboration support care; current dispute-specific independent evidence remains limited.</x:v>
      </x:c>
      <x:c r="H120" s="15" t="str">
        <x:v>S060</x:v>
      </x:c>
      <x:c r="I120" s="15" t="str">
        <x:v>https://www.distinctiveweb.com/resume-service-reviews/</x:v>
      </x:c>
      <x:c r="J120" s="15" t="str">
        <x:v>INFERRED editorial judgment; underlying source classifications retained</x:v>
      </x:c>
    </x:row>
    <x:row r="121" ht="112" customHeight="1">
      <x:c r="A121" s="15" t="str">
        <x:v>C13</x:v>
      </x:c>
      <x:c r="B121" s="15" t="str">
        <x:v>Distinctive Career Services</x:v>
      </x:c>
      <x:c r="C121" s="15" t="str">
        <x:v>History and stability</x:v>
      </x:c>
      <x:c r="D121" s="36" t="n">
        <x:f>Rubric!J$6</x:f>
        <x:v>5</x:v>
      </x:c>
      <x:c r="E121" s="38" t="n">
        <x:f>'Score Inputs'!J18</x:f>
        <x:v>9.5</x:v>
      </x:c>
      <x:c r="F121" s="34" t="n">
        <x:f>D121*E121/Rubric!$B$8</x:f>
        <x:v>4.75</x:v>
      </x:c>
      <x:c r="G121" s="15" t="str">
        <x:v>Long practice continuity and the historical survey/portfolio record support a mature business.</x:v>
      </x:c>
      <x:c r="H121" s="15" t="str">
        <x:v>S060 S117</x:v>
      </x:c>
      <x:c r="I121" s="15" t="str">
        <x:v>https://www.distinctiveweb.com/resume-service-reviews/
https://www.thenrwa.org/Sys/PublicProfile/8775749/3660697</x:v>
      </x:c>
      <x:c r="J121" s="15" t="str">
        <x:v>INFERRED editorial judgment; underlying source classifications retained</x:v>
      </x:c>
    </x:row>
    <x:row r="122" ht="112" customHeight="1">
      <x:c r="A122" s="15" t="str">
        <x:v>C13</x:v>
      </x:c>
      <x:c r="B122" s="15" t="str">
        <x:v>Distinctive Career Services</x:v>
      </x:c>
      <x:c r="C122" s="15" t="str">
        <x:v>Independently supported professional reputation</x:v>
      </x:c>
      <x:c r="D122" s="36" t="n">
        <x:f>Rubric!K$6</x:f>
        <x:v>5</x:v>
      </x:c>
      <x:c r="E122" s="38" t="n">
        <x:f>'Score Inputs'!K18</x:f>
        <x:v>9.5</x:v>
      </x:c>
      <x:c r="F122" s="34" t="n">
        <x:f>D122*E122/Rubric!$B$8</x:f>
        <x:v>4.75</x:v>
      </x:c>
      <x:c r="G122" s="15" t="str">
        <x:v>Independent NRWA awards and historical association competition recognition establish unusually strong professional contribution.</x:v>
      </x:c>
      <x:c r="H122" s="15" t="str">
        <x:v>S066 S120</x:v>
      </x:c>
      <x:c r="I122" s="15" t="str">
        <x:v>https://thenrwa.org/industryheroaward
https://www.prweb.com/releases/career_directors_international_announces_2014_winners_of_the_tori_resume_writing_award_competition/prweb12326042.htm</x:v>
      </x:c>
      <x:c r="J122" s="15" t="str">
        <x:v>INFERRED editorial judgment; underlying source classifications retained</x:v>
      </x:c>
    </x:row>
    <x:row r="123" ht="112" customHeight="1">
      <x:c r="A123" s="15" t="str">
        <x:v>C14</x:v>
      </x:c>
      <x:c r="B123" s="15" t="str">
        <x:v>Resume Writing Group</x:v>
      </x:c>
      <x:c r="C123" s="15" t="str">
        <x:v>Credible customer feedback</x:v>
      </x:c>
      <x:c r="D123" s="36" t="n">
        <x:f>Rubric!C$6</x:f>
        <x:v>20</x:v>
      </x:c>
      <x:c r="E123" s="38" t="n">
        <x:f>'Score Inputs'!C19</x:f>
        <x:v>6</x:v>
      </x:c>
      <x:c r="F123" s="34" t="n">
        <x:f>D123*E123/Rubric!$B$8</x:f>
        <x:v>12</x:v>
      </x:c>
      <x:c r="G123" s="15" t="str">
        <x:v>The customer record is mixed; repeat business and praise exist alongside service dissatisfaction. Billing-only disputes are not all writing failures.</x:v>
      </x:c>
      <x:c r="H123" s="15" t="str">
        <x:v>S070 S068</x:v>
      </x:c>
      <x:c r="I123" s="15" t="str">
        <x:v>https://www.trustpilot.com/review/resumewritinggroup.com
https://www.bbb.org/us/wi/jefferson/profile/resume-services/resume-writing-group-0694-1000057847/complaints</x:v>
      </x:c>
      <x:c r="J123" s="15" t="str">
        <x:v>INFERRED editorial judgment; underlying source classifications retained</x:v>
      </x:c>
    </x:row>
    <x:row r="124" ht="112" customHeight="1">
      <x:c r="A124" s="15" t="str">
        <x:v>C14</x:v>
      </x:c>
      <x:c r="B124" s="15" t="str">
        <x:v>Resume Writing Group</x:v>
      </x:c>
      <x:c r="C124" s="15" t="str">
        <x:v>Documented results and track record</x:v>
      </x:c>
      <x:c r="D124" s="36" t="n">
        <x:f>Rubric!D$6</x:f>
        <x:v>15</x:v>
      </x:c>
      <x:c r="E124" s="38" t="n">
        <x:f>'Score Inputs'!D19</x:f>
        <x:v>5.5</x:v>
      </x:c>
      <x:c r="F124" s="34" t="n">
        <x:f>D124*E124/Rubric!$B$8</x:f>
        <x:v>8.25</x:v>
      </x:c>
      <x:c r="G124" s="15" t="str">
        <x:v>Individual benefit is possible, but the prominent aggregate hiring percentage lacks a usable disclosed method and earns no statistical bonus.</x:v>
      </x:c>
      <x:c r="H124" s="15" t="str">
        <x:v>S067 S070</x:v>
      </x:c>
      <x:c r="I124" s="15" t="str">
        <x:v>https://www.resumewritinggroup.com/
https://www.trustpilot.com/review/resumewritinggroup.com</x:v>
      </x:c>
      <x:c r="J124" s="15" t="str">
        <x:v>INFERRED editorial judgment; underlying source classifications retained</x:v>
      </x:c>
    </x:row>
    <x:row r="125" ht="112" customHeight="1">
      <x:c r="A125" s="15" t="str">
        <x:v>C14</x:v>
      </x:c>
      <x:c r="B125" s="15" t="str">
        <x:v>Resume Writing Group</x:v>
      </x:c>
      <x:c r="C125" s="15" t="str">
        <x:v>Pricing, value and transparency</x:v>
      </x:c>
      <x:c r="D125" s="36" t="n">
        <x:f>Rubric!E$6</x:f>
        <x:v>15</x:v>
      </x:c>
      <x:c r="E125" s="38" t="n">
        <x:f>'Score Inputs'!E19</x:f>
        <x:v>6.5</x:v>
      </x:c>
      <x:c r="F125" s="34" t="n">
        <x:f>D125*E125/Rubric!$B$8</x:f>
        <x:v>9.75</x:v>
      </x:c>
      <x:c r="G125" s="15" t="str">
        <x:v>Low headline prices are weakened by restrictive guarantee and subscription conditions; ordinary promotions receive no penalty.</x:v>
      </x:c>
      <x:c r="H125" s="15" t="str">
        <x:v>S067 S069</x:v>
      </x:c>
      <x:c r="I125" s="15" t="str">
        <x:v>https://www.resumewritinggroup.com/
https://www.resumewritinggroup.com/assets/resumewritingterms.pdf</x:v>
      </x:c>
      <x:c r="J125" s="15" t="str">
        <x:v>INFERRED editorial judgment; underlying source classifications retained</x:v>
      </x:c>
    </x:row>
    <x:row r="126" ht="112" customHeight="1">
      <x:c r="A126" s="15" t="str">
        <x:v>C14</x:v>
      </x:c>
      <x:c r="B126" s="15" t="str">
        <x:v>Resume Writing Group</x:v>
      </x:c>
      <x:c r="C126" s="15" t="str">
        <x:v>Service depth and personalization</x:v>
      </x:c>
      <x:c r="D126" s="36" t="n">
        <x:f>Rubric!F$6</x:f>
        <x:v>10</x:v>
      </x:c>
      <x:c r="E126" s="38" t="n">
        <x:f>'Score Inputs'!F19</x:f>
        <x:v>6.5</x:v>
      </x:c>
      <x:c r="F126" s="34" t="n">
        <x:f>D126*E126/Rubric!$B$8</x:f>
        <x:v>6.5</x:v>
      </x:c>
      <x:c r="G126" s="15" t="str">
        <x:v>The service describes customized human writing, but deep discovery and named-author accountability are less visible.</x:v>
      </x:c>
      <x:c r="H126" s="15" t="str">
        <x:v>S067</x:v>
      </x:c>
      <x:c r="I126" s="15" t="str">
        <x:v>https://www.resumewritinggroup.com/</x:v>
      </x:c>
      <x:c r="J126" s="15" t="str">
        <x:v>INFERRED editorial judgment; underlying source classifications retained</x:v>
      </x:c>
    </x:row>
    <x:row r="127" ht="112" customHeight="1">
      <x:c r="A127" s="15" t="str">
        <x:v>C14</x:v>
      </x:c>
      <x:c r="B127" s="15" t="str">
        <x:v>Resume Writing Group</x:v>
      </x:c>
      <x:c r="C127" s="15" t="str">
        <x:v>Writer qualifications and credentials</x:v>
      </x:c>
      <x:c r="D127" s="36" t="n">
        <x:f>Rubric!G$6</x:f>
        <x:v>10</x:v>
      </x:c>
      <x:c r="E127" s="38" t="n">
        <x:f>'Score Inputs'!G19</x:f>
        <x:v>6</x:v>
      </x:c>
      <x:c r="F127" s="34" t="n">
        <x:f>D127*E127/Rubric!$B$8</x:f>
        <x:v>6</x:v>
      </x:c>
      <x:c r="G127" s="15" t="str">
        <x:v>Professional staffing is claimed without sufficient assigned-writer credential detail for an elite rating.</x:v>
      </x:c>
      <x:c r="H127" s="15" t="str">
        <x:v>S067</x:v>
      </x:c>
      <x:c r="I127" s="15" t="str">
        <x:v>https://www.resumewritinggroup.com/</x:v>
      </x:c>
      <x:c r="J127" s="15" t="str">
        <x:v>INFERRED editorial judgment; underlying source classifications retained</x:v>
      </x:c>
    </x:row>
    <x:row r="128" ht="112" customHeight="1">
      <x:c r="A128" s="15" t="str">
        <x:v>C14</x:v>
      </x:c>
      <x:c r="B128" s="15" t="str">
        <x:v>Resume Writing Group</x:v>
      </x:c>
      <x:c r="C128" s="15" t="str">
        <x:v>Quality standards and commitment</x:v>
      </x:c>
      <x:c r="D128" s="36" t="n">
        <x:f>Rubric!H$6</x:f>
        <x:v>10</x:v>
      </x:c>
      <x:c r="E128" s="38" t="n">
        <x:f>'Score Inputs'!H19</x:f>
        <x:v>6</x:v>
      </x:c>
      <x:c r="F128" s="34" t="n">
        <x:f>D128*E128/Rubric!$B$8</x:f>
        <x:v>6</x:v>
      </x:c>
      <x:c r="G128" s="15" t="str">
        <x:v>The retained research describes uneven sample/customer craft evidence; no new complete visual inspection was performed.</x:v>
      </x:c>
      <x:c r="H128" s="15" t="str">
        <x:v>S067 S070</x:v>
      </x:c>
      <x:c r="I128" s="15" t="str">
        <x:v>https://www.resumewritinggroup.com/
https://www.trustpilot.com/review/resumewritinggroup.com</x:v>
      </x:c>
      <x:c r="J128" s="15" t="str">
        <x:v>INFERRED editorial judgment; underlying source classifications retained</x:v>
      </x:c>
    </x:row>
    <x:row r="129" ht="112" customHeight="1">
      <x:c r="A129" s="15" t="str">
        <x:v>C14</x:v>
      </x:c>
      <x:c r="B129" s="15" t="str">
        <x:v>Resume Writing Group</x:v>
      </x:c>
      <x:c r="C129" s="15" t="str">
        <x:v>Serious complaints and resolution</x:v>
      </x:c>
      <x:c r="D129" s="36" t="n">
        <x:f>Rubric!I$6</x:f>
        <x:v>10</x:v>
      </x:c>
      <x:c r="E129" s="38" t="n">
        <x:f>'Score Inputs'!I19</x:f>
        <x:v>4.5</x:v>
      </x:c>
      <x:c r="F129" s="34" t="n">
        <x:f>D129*E129/Rubric!$B$8</x:f>
        <x:v>4.5</x:v>
      </x:c>
      <x:c r="G129" s="15" t="str">
        <x:v>A repeated BBB dispute record and limited confirmed resolutions justify material caution; answered and resolved are not treated as equivalent.</x:v>
      </x:c>
      <x:c r="H129" s="15" t="str">
        <x:v>S068</x:v>
      </x:c>
      <x:c r="I129" s="15" t="str">
        <x:v>https://www.bbb.org/us/wi/jefferson/profile/resume-services/resume-writing-group-0694-1000057847/complaints</x:v>
      </x:c>
      <x:c r="J129" s="15" t="str">
        <x:v>INFERRED editorial judgment; underlying source classifications retained</x:v>
      </x:c>
    </x:row>
    <x:row r="130" ht="112" customHeight="1">
      <x:c r="A130" s="15" t="str">
        <x:v>C14</x:v>
      </x:c>
      <x:c r="B130" s="15" t="str">
        <x:v>Resume Writing Group</x:v>
      </x:c>
      <x:c r="C130" s="15" t="str">
        <x:v>History and stability</x:v>
      </x:c>
      <x:c r="D130" s="36" t="n">
        <x:f>Rubric!J$6</x:f>
        <x:v>5</x:v>
      </x:c>
      <x:c r="E130" s="38" t="n">
        <x:f>'Score Inputs'!J19</x:f>
        <x:v>8</x:v>
      </x:c>
      <x:c r="F130" s="34" t="n">
        <x:f>D130*E130/Rubric!$B$8</x:f>
        <x:v>4</x:v>
      </x:c>
      <x:c r="G130" s="15" t="str">
        <x:v>Historical operations and repeat-customer evidence support longevity despite current commercial concerns.</x:v>
      </x:c>
      <x:c r="H130" s="15" t="str">
        <x:v>S068 S070</x:v>
      </x:c>
      <x:c r="I130" s="15" t="str">
        <x:v>https://www.bbb.org/us/wi/jefferson/profile/resume-services/resume-writing-group-0694-1000057847/complaints
https://www.trustpilot.com/review/resumewritinggroup.com</x:v>
      </x:c>
      <x:c r="J130" s="15" t="str">
        <x:v>INFERRED editorial judgment; underlying source classifications retained</x:v>
      </x:c>
    </x:row>
    <x:row r="131" ht="112" customHeight="1">
      <x:c r="A131" s="15" t="str">
        <x:v>C14</x:v>
      </x:c>
      <x:c r="B131" s="15" t="str">
        <x:v>Resume Writing Group</x:v>
      </x:c>
      <x:c r="C131" s="15" t="str">
        <x:v>Independently supported professional reputation</x:v>
      </x:c>
      <x:c r="D131" s="36" t="n">
        <x:f>Rubric!K$6</x:f>
        <x:v>5</x:v>
      </x:c>
      <x:c r="E131" s="38" t="n">
        <x:f>'Score Inputs'!K19</x:f>
        <x:v>5.5</x:v>
      </x:c>
      <x:c r="F131" s="34" t="n">
        <x:f>D131*E131/Rubric!$B$8</x:f>
        <x:v>2.75</x:v>
      </x:c>
      <x:c r="G131" s="15" t="str">
        <x:v>Market longevity is evident, but robust external professional recognition is less supported than at specialist peers.</x:v>
      </x:c>
      <x:c r="H131" s="15" t="str">
        <x:v>S067 S070</x:v>
      </x:c>
      <x:c r="I131" s="15" t="str">
        <x:v>https://www.resumewritinggroup.com/
https://www.trustpilot.com/review/resumewritinggroup.com</x:v>
      </x:c>
      <x:c r="J131" s="15" t="str">
        <x:v>INFERRED editorial judgment; underlying source classifications retained</x:v>
      </x:c>
    </x:row>
    <x:row r="132" ht="112" customHeight="1">
      <x:c r="A132" s="15" t="str">
        <x:v>C15</x:v>
      </x:c>
      <x:c r="B132" s="15" t="str">
        <x:v>An Expert Resume</x:v>
      </x:c>
      <x:c r="C132" s="15" t="str">
        <x:v>Credible customer feedback</x:v>
      </x:c>
      <x:c r="D132" s="36" t="n">
        <x:f>Rubric!C$6</x:f>
        <x:v>20</x:v>
      </x:c>
      <x:c r="E132" s="38" t="n">
        <x:f>'Score Inputs'!C20</x:f>
        <x:v>8.5</x:v>
      </x:c>
      <x:c r="F132" s="34" t="n">
        <x:f>D132*E132/Rubric!$B$8</x:f>
        <x:v>17</x:v>
      </x:c>
      <x:c r="G132" s="15" t="str">
        <x:v>Detailed selected customer accounts describe intensive collaboration and repeat work; the record is not an independent random sample.</x:v>
      </x:c>
      <x:c r="H132" s="15" t="str">
        <x:v>S073</x:v>
      </x:c>
      <x:c r="I132" s="15" t="str">
        <x:v>https://www.anexpertresume.com/executive-resume-writer/laura-smith-proulx-executive-resume-writer-reviews/</x:v>
      </x:c>
      <x:c r="J132" s="15" t="str">
        <x:v>INFERRED editorial judgment; underlying source classifications retained</x:v>
      </x:c>
    </x:row>
    <x:row r="133" ht="112" customHeight="1">
      <x:c r="A133" s="15" t="str">
        <x:v>C15</x:v>
      </x:c>
      <x:c r="B133" s="15" t="str">
        <x:v>An Expert Resume</x:v>
      </x:c>
      <x:c r="C133" s="15" t="str">
        <x:v>Documented results and track record</x:v>
      </x:c>
      <x:c r="D133" s="36" t="n">
        <x:f>Rubric!D$6</x:f>
        <x:v>15</x:v>
      </x:c>
      <x:c r="E133" s="38" t="n">
        <x:f>'Score Inputs'!D20</x:f>
        <x:v>8.5</x:v>
      </x:c>
      <x:c r="F133" s="34" t="n">
        <x:f>D133*E133/Rubric!$B$8</x:f>
        <x:v>12.75</x:v>
      </x:c>
      <x:c r="G133" s="15" t="str">
        <x:v>Specific interview and offer stories across repeat engagements provide strong attributed outcome evidence.</x:v>
      </x:c>
      <x:c r="H133" s="15" t="str">
        <x:v>S073</x:v>
      </x:c>
      <x:c r="I133" s="15" t="str">
        <x:v>https://www.anexpertresume.com/executive-resume-writer/laura-smith-proulx-executive-resume-writer-reviews/</x:v>
      </x:c>
      <x:c r="J133" s="15" t="str">
        <x:v>INFERRED editorial judgment; underlying source classifications retained</x:v>
      </x:c>
    </x:row>
    <x:row r="134" ht="112" customHeight="1">
      <x:c r="A134" s="15" t="str">
        <x:v>C15</x:v>
      </x:c>
      <x:c r="B134" s="15" t="str">
        <x:v>An Expert Resume</x:v>
      </x:c>
      <x:c r="C134" s="15" t="str">
        <x:v>Pricing, value and transparency</x:v>
      </x:c>
      <x:c r="D134" s="36" t="n">
        <x:f>Rubric!E$6</x:f>
        <x:v>15</x:v>
      </x:c>
      <x:c r="E134" s="38" t="n">
        <x:f>'Score Inputs'!E20</x:f>
        <x:v>7.5</x:v>
      </x:c>
      <x:c r="F134" s="34" t="n">
        <x:f>D134*E134/Rubric!$B$8</x:f>
        <x:v>11.25</x:v>
      </x:c>
      <x:c r="G134" s="15" t="str">
        <x:v>The high published résumé price buys exclusive senior-expert work and a long interview; this is narrower value for budget buyers.</x:v>
      </x:c>
      <x:c r="H134" s="15" t="str">
        <x:v>S071</x:v>
      </x:c>
      <x:c r="I134" s="15" t="str">
        <x:v>https://www.anexpertresume.com/executive-resume-services/expert-package-service/</x:v>
      </x:c>
      <x:c r="J134" s="15" t="str">
        <x:v>INFERRED editorial judgment; underlying source classifications retained</x:v>
      </x:c>
    </x:row>
    <x:row r="135" ht="112" customHeight="1">
      <x:c r="A135" s="15" t="str">
        <x:v>C15</x:v>
      </x:c>
      <x:c r="B135" s="15" t="str">
        <x:v>An Expert Resume</x:v>
      </x:c>
      <x:c r="C135" s="15" t="str">
        <x:v>Service depth and personalization</x:v>
      </x:c>
      <x:c r="D135" s="36" t="n">
        <x:f>Rubric!F$6</x:f>
        <x:v>10</x:v>
      </x:c>
      <x:c r="E135" s="38" t="n">
        <x:f>'Score Inputs'!F20</x:f>
        <x:v>9.5</x:v>
      </x:c>
      <x:c r="F135" s="34" t="n">
        <x:f>D135*E135/Rubric!$B$8</x:f>
        <x:v>9.5</x:v>
      </x:c>
      <x:c r="G135" s="15" t="str">
        <x:v>Exclusive authorship and a lengthy branding interview create unusually clear expert accountability and depth.</x:v>
      </x:c>
      <x:c r="H135" s="15" t="str">
        <x:v>S071 S072</x:v>
      </x:c>
      <x:c r="I135" s="15" t="str">
        <x:v>https://www.anexpertresume.com/executive-resume-services/expert-package-service/
https://www.anexpertresume.com/faqs/</x:v>
      </x:c>
      <x:c r="J135" s="15" t="str">
        <x:v>INFERRED editorial judgment; underlying source classifications retained</x:v>
      </x:c>
    </x:row>
    <x:row r="136" ht="112" customHeight="1">
      <x:c r="A136" s="15" t="str">
        <x:v>C15</x:v>
      </x:c>
      <x:c r="B136" s="15" t="str">
        <x:v>An Expert Resume</x:v>
      </x:c>
      <x:c r="C136" s="15" t="str">
        <x:v>Writer qualifications and credentials</x:v>
      </x:c>
      <x:c r="D136" s="36" t="n">
        <x:f>Rubric!G$6</x:f>
        <x:v>10</x:v>
      </x:c>
      <x:c r="E136" s="38" t="n">
        <x:f>'Score Inputs'!G20</x:f>
        <x:v>9</x:v>
      </x:c>
      <x:c r="F136" s="34" t="n">
        <x:f>D136*E136/Rubric!$B$8</x:f>
        <x:v>9</x:v>
      </x:c>
      <x:c r="G136" s="15" t="str">
        <x:v>Named technical/recruiting experience, professional preparation and publication history support strong expert delivery; every current certification was not rechecked.</x:v>
      </x:c>
      <x:c r="H136" s="15" t="str">
        <x:v>S072 S119</x:v>
      </x:c>
      <x:c r="I136" s="15" t="str">
        <x:v>https://www.anexpertresume.com/faqs/
https://www.job-hunt.org/author/lsmith-proulx/</x:v>
      </x:c>
      <x:c r="J136" s="15" t="str">
        <x:v>INFERRED editorial judgment; underlying source classifications retained</x:v>
      </x:c>
    </x:row>
    <x:row r="137" ht="112" customHeight="1">
      <x:c r="A137" s="15" t="str">
        <x:v>C15</x:v>
      </x:c>
      <x:c r="B137" s="15" t="str">
        <x:v>An Expert Resume</x:v>
      </x:c>
      <x:c r="C137" s="15" t="str">
        <x:v>Quality standards and commitment</x:v>
      </x:c>
      <x:c r="D137" s="36" t="n">
        <x:f>Rubric!H$6</x:f>
        <x:v>10</x:v>
      </x:c>
      <x:c r="E137" s="38" t="n">
        <x:f>'Score Inputs'!H20</x:f>
        <x:v>8</x:v>
      </x:c>
      <x:c r="F137" s="34" t="n">
        <x:f>D137*E137/Rubric!$B$8</x:f>
        <x:v>8</x:v>
      </x:c>
      <x:c r="G137" s="15" t="str">
        <x:v>Detailed discovery and customer descriptions support high process quality; a complete sample was not visually assessed in the retained audit.</x:v>
      </x:c>
      <x:c r="H137" s="15" t="str">
        <x:v>S072 S073</x:v>
      </x:c>
      <x:c r="I137" s="15" t="str">
        <x:v>https://www.anexpertresume.com/faqs/
https://www.anexpertresume.com/executive-resume-writer/laura-smith-proulx-executive-resume-writer-reviews/</x:v>
      </x:c>
      <x:c r="J137" s="15" t="str">
        <x:v>INFERRED editorial judgment; underlying source classifications retained</x:v>
      </x:c>
    </x:row>
    <x:row r="138" ht="112" customHeight="1">
      <x:c r="A138" s="15" t="str">
        <x:v>C15</x:v>
      </x:c>
      <x:c r="B138" s="15" t="str">
        <x:v>An Expert Resume</x:v>
      </x:c>
      <x:c r="C138" s="15" t="str">
        <x:v>Serious complaints and resolution</x:v>
      </x:c>
      <x:c r="D138" s="36" t="n">
        <x:f>Rubric!I$6</x:f>
        <x:v>10</x:v>
      </x:c>
      <x:c r="E138" s="38" t="n">
        <x:f>'Score Inputs'!I20</x:f>
        <x:v>8</x:v>
      </x:c>
      <x:c r="F138" s="34" t="n">
        <x:f>D138*E138/Rubric!$B$8</x:f>
        <x:v>8</x:v>
      </x:c>
      <x:c r="G138" s="15" t="str">
        <x:v>Direct follow-up and repeat relationships support service commitment; precise current cash-remedy evidence is less complete.</x:v>
      </x:c>
      <x:c r="H138" s="15" t="str">
        <x:v>S071 S073</x:v>
      </x:c>
      <x:c r="I138" s="15" t="str">
        <x:v>https://www.anexpertresume.com/executive-resume-services/expert-package-service/
https://www.anexpertresume.com/executive-resume-writer/laura-smith-proulx-executive-resume-writer-reviews/</x:v>
      </x:c>
      <x:c r="J138" s="15" t="str">
        <x:v>INFERRED editorial judgment; underlying source classifications retained</x:v>
      </x:c>
    </x:row>
    <x:row r="139" ht="112" customHeight="1">
      <x:c r="A139" s="15" t="str">
        <x:v>C15</x:v>
      </x:c>
      <x:c r="B139" s="15" t="str">
        <x:v>An Expert Resume</x:v>
      </x:c>
      <x:c r="C139" s="15" t="str">
        <x:v>History and stability</x:v>
      </x:c>
      <x:c r="D139" s="36" t="n">
        <x:f>Rubric!J$6</x:f>
        <x:v>5</x:v>
      </x:c>
      <x:c r="E139" s="38" t="n">
        <x:f>'Score Inputs'!J20</x:f>
        <x:v>9</x:v>
      </x:c>
      <x:c r="F139" s="34" t="n">
        <x:f>D139*E139/Rubric!$B$8</x:f>
        <x:v>4.5</x:v>
      </x:c>
      <x:c r="G139" s="15" t="str">
        <x:v>External publisher and company records support a long-running career-writing practice; differing historical founding references are not collapsed into a false exact date.</x:v>
      </x:c>
      <x:c r="H139" s="15" t="str">
        <x:v>S119 S072</x:v>
      </x:c>
      <x:c r="I139" s="15" t="str">
        <x:v>https://www.job-hunt.org/author/lsmith-proulx/
https://www.anexpertresume.com/faqs/</x:v>
      </x:c>
      <x:c r="J139" s="15" t="str">
        <x:v>INFERRED editorial judgment; underlying source classifications retained</x:v>
      </x:c>
    </x:row>
    <x:row r="140" ht="112" customHeight="1">
      <x:c r="A140" s="15" t="str">
        <x:v>C15</x:v>
      </x:c>
      <x:c r="B140" s="15" t="str">
        <x:v>An Expert Resume</x:v>
      </x:c>
      <x:c r="C140" s="15" t="str">
        <x:v>Independently supported professional reputation</x:v>
      </x:c>
      <x:c r="D140" s="36" t="n">
        <x:f>Rubric!K$6</x:f>
        <x:v>5</x:v>
      </x:c>
      <x:c r="E140" s="38" t="n">
        <x:f>'Score Inputs'!K20</x:f>
        <x:v>8.5</x:v>
      </x:c>
      <x:c r="F140" s="34" t="n">
        <x:f>D140*E140/Rubric!$B$8</x:f>
        <x:v>4.25</x:v>
      </x:c>
      <x:c r="G140" s="15" t="str">
        <x:v>External publication work and independently announced historical résumé awards support strong professional standing.</x:v>
      </x:c>
      <x:c r="H140" s="15" t="str">
        <x:v>S119 S120</x:v>
      </x:c>
      <x:c r="I140" s="15" t="str">
        <x:v>https://www.job-hunt.org/author/lsmith-proulx/
https://www.prweb.com/releases/career_directors_international_announces_2014_winners_of_the_tori_resume_writing_award_competition/prweb12326042.htm</x:v>
      </x:c>
      <x:c r="J140" s="15" t="str">
        <x:v>INFERRED editorial judgment; underlying source classifications retained</x:v>
      </x:c>
    </x:row>
    <x:row r="141" ht="112" customHeight="1">
      <x:c r="A141" s="15" t="str">
        <x:v>C16</x:v>
      </x:c>
      <x:c r="B141" s="15" t="str">
        <x:v>Resume Target</x:v>
      </x:c>
      <x:c r="C141" s="15" t="str">
        <x:v>Credible customer feedback</x:v>
      </x:c>
      <x:c r="D141" s="36" t="n">
        <x:f>Rubric!C$6</x:f>
        <x:v>20</x:v>
      </x:c>
      <x:c r="E141" s="38" t="n">
        <x:f>'Score Inputs'!C21</x:f>
        <x:v>7.5</x:v>
      </x:c>
      <x:c r="F141" s="34" t="n">
        <x:f>D141*E141/Rubric!$B$8</x:f>
        <x:v>15</x:v>
      </x:c>
      <x:c r="G141" s="15" t="str">
        <x:v>The advertised Google footprint and available customer accounts deserve consideration, but original-platform verification and independent coverage are limited.</x:v>
      </x:c>
      <x:c r="H141" s="15" t="str">
        <x:v>S075 S078</x:v>
      </x:c>
      <x:c r="I141" s="15" t="str">
        <x:v>https://www.resumetarget.com/resume-writing-service.php
https://www.bbb.org/ca/on/toronto/profile/resume-services/resume-target-inc-0107-1244045/complaints</x:v>
      </x:c>
      <x:c r="J141" s="15" t="str">
        <x:v>INFERRED editorial judgment; underlying source classifications retained</x:v>
      </x:c>
    </x:row>
    <x:row r="142" ht="112" customHeight="1">
      <x:c r="A142" s="15" t="str">
        <x:v>C16</x:v>
      </x:c>
      <x:c r="B142" s="15" t="str">
        <x:v>Resume Target</x:v>
      </x:c>
      <x:c r="C142" s="15" t="str">
        <x:v>Documented results and track record</x:v>
      </x:c>
      <x:c r="D142" s="36" t="n">
        <x:f>Rubric!D$6</x:f>
        <x:v>15</x:v>
      </x:c>
      <x:c r="E142" s="38" t="n">
        <x:f>'Score Inputs'!D21</x:f>
        <x:v>6.5</x:v>
      </x:c>
      <x:c r="F142" s="34" t="n">
        <x:f>D142*E142/Rubric!$B$8</x:f>
        <x:v>9.75</x:v>
      </x:c>
      <x:c r="G142" s="15" t="str">
        <x:v>Some individual customer evidence supports benefit; the large interview percentage is not a measured success probability for this comparison.</x:v>
      </x:c>
      <x:c r="H142" s="15" t="str">
        <x:v>S077 S078</x:v>
      </x:c>
      <x:c r="I142" s="15" t="str">
        <x:v>https://www.resumetarget.com/90-day-guarantee.php
https://www.bbb.org/ca/on/toronto/profile/resume-services/resume-target-inc-0107-1244045/complaints</x:v>
      </x:c>
      <x:c r="J142" s="15" t="str">
        <x:v>INFERRED editorial judgment; underlying source classifications retained</x:v>
      </x:c>
    </x:row>
    <x:row r="143" ht="112" customHeight="1">
      <x:c r="A143" s="15" t="str">
        <x:v>C16</x:v>
      </x:c>
      <x:c r="B143" s="15" t="str">
        <x:v>Resume Target</x:v>
      </x:c>
      <x:c r="C143" s="15" t="str">
        <x:v>Pricing, value and transparency</x:v>
      </x:c>
      <x:c r="D143" s="36" t="n">
        <x:f>Rubric!E$6</x:f>
        <x:v>15</x:v>
      </x:c>
      <x:c r="E143" s="38" t="n">
        <x:f>'Score Inputs'!E21</x:f>
        <x:v>8</x:v>
      </x:c>
      <x:c r="F143" s="34" t="n">
        <x:f>D143*E143/Rubric!$B$8</x:f>
        <x:v>12</x:v>
      </x:c>
      <x:c r="G143" s="15" t="str">
        <x:v>Published tiers include a cover letter and progressively longer consultation; currency is not conclusively established and is not converted.</x:v>
      </x:c>
      <x:c r="H143" s="15" t="str">
        <x:v>S075</x:v>
      </x:c>
      <x:c r="I143" s="15" t="str">
        <x:v>https://www.resumetarget.com/resume-writing-service.php</x:v>
      </x:c>
      <x:c r="J143" s="15" t="str">
        <x:v>INFERRED editorial judgment; underlying source classifications retained</x:v>
      </x:c>
    </x:row>
    <x:row r="144" ht="112" customHeight="1">
      <x:c r="A144" s="15" t="str">
        <x:v>C16</x:v>
      </x:c>
      <x:c r="B144" s="15" t="str">
        <x:v>Resume Target</x:v>
      </x:c>
      <x:c r="C144" s="15" t="str">
        <x:v>Service depth and personalization</x:v>
      </x:c>
      <x:c r="D144" s="36" t="n">
        <x:f>Rubric!F$6</x:f>
        <x:v>10</x:v>
      </x:c>
      <x:c r="E144" s="38" t="n">
        <x:f>'Score Inputs'!F21</x:f>
        <x:v>8.5</x:v>
      </x:c>
      <x:c r="F144" s="34" t="n">
        <x:f>D144*E144/Rubric!$B$8</x:f>
        <x:v>8.5</x:v>
      </x:c>
      <x:c r="G144" s="15" t="str">
        <x:v>Defined interview lengths and senior review support a substantive personalized process.</x:v>
      </x:c>
      <x:c r="H144" s="15" t="str">
        <x:v>S075 S076</x:v>
      </x:c>
      <x:c r="I144" s="15" t="str">
        <x:v>https://www.resumetarget.com/resume-writing-service.php
https://www.resumetarget.com/our-writers.php</x:v>
      </x:c>
      <x:c r="J144" s="15" t="str">
        <x:v>INFERRED editorial judgment; underlying source classifications retained</x:v>
      </x:c>
    </x:row>
    <x:row r="145" ht="112" customHeight="1">
      <x:c r="A145" s="15" t="str">
        <x:v>C16</x:v>
      </x:c>
      <x:c r="B145" s="15" t="str">
        <x:v>Resume Target</x:v>
      </x:c>
      <x:c r="C145" s="15" t="str">
        <x:v>Writer qualifications and credentials</x:v>
      </x:c>
      <x:c r="D145" s="36" t="n">
        <x:f>Rubric!G$6</x:f>
        <x:v>10</x:v>
      </x:c>
      <x:c r="E145" s="38" t="n">
        <x:f>'Score Inputs'!G21</x:f>
        <x:v>7</x:v>
      </x:c>
      <x:c r="F145" s="34" t="n">
        <x:f>D145*E145/Rubric!$B$8</x:f>
        <x:v>7</x:v>
      </x:c>
      <x:c r="G145" s="15" t="str">
        <x:v>An employee/senior-review model is described, while the particular writer’s external credentials remain unclear.</x:v>
      </x:c>
      <x:c r="H145" s="15" t="str">
        <x:v>S076</x:v>
      </x:c>
      <x:c r="I145" s="15" t="str">
        <x:v>https://www.resumetarget.com/our-writers.php</x:v>
      </x:c>
      <x:c r="J145" s="15" t="str">
        <x:v>INFERRED editorial judgment; underlying source classifications retained</x:v>
      </x:c>
    </x:row>
    <x:row r="146" ht="112" customHeight="1">
      <x:c r="A146" s="15" t="str">
        <x:v>C16</x:v>
      </x:c>
      <x:c r="B146" s="15" t="str">
        <x:v>Resume Target</x:v>
      </x:c>
      <x:c r="C146" s="15" t="str">
        <x:v>Quality standards and commitment</x:v>
      </x:c>
      <x:c r="D146" s="36" t="n">
        <x:f>Rubric!H$6</x:f>
        <x:v>10</x:v>
      </x:c>
      <x:c r="E146" s="38" t="n">
        <x:f>'Score Inputs'!H21</x:f>
        <x:v>7.5</x:v>
      </x:c>
      <x:c r="F146" s="34" t="n">
        <x:f>D146*E146/Rubric!$B$8</x:f>
        <x:v>7.5</x:v>
      </x:c>
      <x:c r="G146" s="15" t="str">
        <x:v>Described review and consultation support competent quality control; a complete actual résumé was not visually assessed.</x:v>
      </x:c>
      <x:c r="H146" s="15" t="str">
        <x:v>S075 S076</x:v>
      </x:c>
      <x:c r="I146" s="15" t="str">
        <x:v>https://www.resumetarget.com/resume-writing-service.php
https://www.resumetarget.com/our-writers.php</x:v>
      </x:c>
      <x:c r="J146" s="15" t="str">
        <x:v>INFERRED editorial judgment; underlying source classifications retained</x:v>
      </x:c>
    </x:row>
    <x:row r="147" ht="112" customHeight="1">
      <x:c r="A147" s="15" t="str">
        <x:v>C16</x:v>
      </x:c>
      <x:c r="B147" s="15" t="str">
        <x:v>Resume Target</x:v>
      </x:c>
      <x:c r="C147" s="15" t="str">
        <x:v>Serious complaints and resolution</x:v>
      </x:c>
      <x:c r="D147" s="36" t="n">
        <x:f>Rubric!I$6</x:f>
        <x:v>10</x:v>
      </x:c>
      <x:c r="E147" s="38" t="n">
        <x:f>'Score Inputs'!I21</x:f>
        <x:v>7</x:v>
      </x:c>
      <x:c r="F147" s="34" t="n">
        <x:f>D147*E147/Rubric!$B$8</x:f>
        <x:v>7</x:v>
      </x:c>
      <x:c r="G147" s="15" t="str">
        <x:v>A rewrite remedy exists, while documented scope disputes and cancellation timing temper the support judgment.</x:v>
      </x:c>
      <x:c r="H147" s="15" t="str">
        <x:v>S077 S078</x:v>
      </x:c>
      <x:c r="I147" s="15" t="str">
        <x:v>https://www.resumetarget.com/90-day-guarantee.php
https://www.bbb.org/ca/on/toronto/profile/resume-services/resume-target-inc-0107-1244045/complaints</x:v>
      </x:c>
      <x:c r="J147" s="15" t="str">
        <x:v>INFERRED editorial judgment; underlying source classifications retained</x:v>
      </x:c>
    </x:row>
    <x:row r="148" ht="112" customHeight="1">
      <x:c r="A148" s="15" t="str">
        <x:v>C16</x:v>
      </x:c>
      <x:c r="B148" s="15" t="str">
        <x:v>Resume Target</x:v>
      </x:c>
      <x:c r="C148" s="15" t="str">
        <x:v>History and stability</x:v>
      </x:c>
      <x:c r="D148" s="36" t="n">
        <x:f>Rubric!J$6</x:f>
        <x:v>5</x:v>
      </x:c>
      <x:c r="E148" s="38" t="n">
        <x:f>'Score Inputs'!J21</x:f>
        <x:v>9</x:v>
      </x:c>
      <x:c r="F148" s="34" t="n">
        <x:f>D148*E148/Rubric!$B$8</x:f>
        <x:v>4.5</x:v>
      </x:c>
      <x:c r="G148" s="15" t="str">
        <x:v>A longstanding operating practice and current tiered service support continuity.</x:v>
      </x:c>
      <x:c r="H148" s="15" t="str">
        <x:v>S075 S076</x:v>
      </x:c>
      <x:c r="I148" s="15" t="str">
        <x:v>https://www.resumetarget.com/resume-writing-service.php
https://www.resumetarget.com/our-writers.php</x:v>
      </x:c>
      <x:c r="J148" s="15" t="str">
        <x:v>INFERRED editorial judgment; underlying source classifications retained</x:v>
      </x:c>
    </x:row>
    <x:row r="149" ht="112" customHeight="1">
      <x:c r="A149" s="15" t="str">
        <x:v>C16</x:v>
      </x:c>
      <x:c r="B149" s="15" t="str">
        <x:v>Resume Target</x:v>
      </x:c>
      <x:c r="C149" s="15" t="str">
        <x:v>Independently supported professional reputation</x:v>
      </x:c>
      <x:c r="D149" s="36" t="n">
        <x:f>Rubric!K$6</x:f>
        <x:v>5</x:v>
      </x:c>
      <x:c r="E149" s="38" t="n">
        <x:f>'Score Inputs'!K21</x:f>
        <x:v>6.5</x:v>
      </x:c>
      <x:c r="F149" s="34" t="n">
        <x:f>D149*E149/Rubric!$B$8</x:f>
        <x:v>3.25</x:v>
      </x:c>
      <x:c r="G149" s="15" t="str">
        <x:v>Public visibility is evident, but independent professional-contribution evidence is less developed than for recognized specialist peers.</x:v>
      </x:c>
      <x:c r="H149" s="15" t="str">
        <x:v>S076</x:v>
      </x:c>
      <x:c r="I149" s="15" t="str">
        <x:v>https://www.resumetarget.com/our-writers.php</x:v>
      </x:c>
      <x:c r="J149" s="15" t="str">
        <x:v>INFERRED editorial judgment; underlying source classifications retained</x:v>
      </x:c>
    </x:row>
    <x:row r="150" ht="112" customHeight="1">
      <x:c r="A150" s="15" t="str">
        <x:v>C17</x:v>
      </x:c>
      <x:c r="B150" s="15" t="str">
        <x:v>The Writing Guru</x:v>
      </x:c>
      <x:c r="C150" s="15" t="str">
        <x:v>Credible customer feedback</x:v>
      </x:c>
      <x:c r="D150" s="36" t="n">
        <x:f>Rubric!C$6</x:f>
        <x:v>20</x:v>
      </x:c>
      <x:c r="E150" s="38" t="n">
        <x:f>'Score Inputs'!C22</x:f>
        <x:v>8</x:v>
      </x:c>
      <x:c r="F150" s="34" t="n">
        <x:f>D150*E150/Rubric!$B$8</x:f>
        <x:v>16</x:v>
      </x:c>
      <x:c r="G150" s="15" t="str">
        <x:v>Detailed legal/executive customer accounts support satisfaction, while the broader review total remains a company-reported figure.</x:v>
      </x:c>
      <x:c r="H150" s="15" t="str">
        <x:v>S082</x:v>
      </x:c>
      <x:c r="I150" s="15" t="str">
        <x:v>https://writingguru.net/the-writing-guru-wendi-weiner-executive-resume-writer-reviews/</x:v>
      </x:c>
      <x:c r="J150" s="15" t="str">
        <x:v>INFERRED editorial judgment; underlying source classifications retained</x:v>
      </x:c>
    </x:row>
    <x:row r="151" ht="112" customHeight="1">
      <x:c r="A151" s="15" t="str">
        <x:v>C17</x:v>
      </x:c>
      <x:c r="B151" s="15" t="str">
        <x:v>The Writing Guru</x:v>
      </x:c>
      <x:c r="C151" s="15" t="str">
        <x:v>Documented results and track record</x:v>
      </x:c>
      <x:c r="D151" s="36" t="n">
        <x:f>Rubric!D$6</x:f>
        <x:v>15</x:v>
      </x:c>
      <x:c r="E151" s="38" t="n">
        <x:f>'Score Inputs'!D22</x:f>
        <x:v>8</x:v>
      </x:c>
      <x:c r="F151" s="34" t="n">
        <x:f>D151*E151/Rubric!$B$8</x:f>
        <x:v>12</x:v>
      </x:c>
      <x:c r="G151" s="15" t="str">
        <x:v>Specific selected interview/offer and repeat-client accounts support effectiveness without a placement-rate claim.</x:v>
      </x:c>
      <x:c r="H151" s="15" t="str">
        <x:v>S082</x:v>
      </x:c>
      <x:c r="I151" s="15" t="str">
        <x:v>https://writingguru.net/the-writing-guru-wendi-weiner-executive-resume-writer-reviews/</x:v>
      </x:c>
      <x:c r="J151" s="15" t="str">
        <x:v>INFERRED editorial judgment; underlying source classifications retained</x:v>
      </x:c>
    </x:row>
    <x:row r="152" ht="112" customHeight="1">
      <x:c r="A152" s="15" t="str">
        <x:v>C17</x:v>
      </x:c>
      <x:c r="B152" s="15" t="str">
        <x:v>The Writing Guru</x:v>
      </x:c>
      <x:c r="C152" s="15" t="str">
        <x:v>Pricing, value and transparency</x:v>
      </x:c>
      <x:c r="D152" s="36" t="n">
        <x:f>Rubric!E$6</x:f>
        <x:v>15</x:v>
      </x:c>
      <x:c r="E152" s="38" t="n">
        <x:f>'Score Inputs'!E22</x:f>
        <x:v>7</x:v>
      </x:c>
      <x:c r="F152" s="34" t="n">
        <x:f>D152*E152/Rubric!$B$8</x:f>
        <x:v>10.5</x:v>
      </x:c>
      <x:c r="G152" s="15" t="str">
        <x:v>Intensive legal/board branding can justify premium scope, but high entry cost and booking lead time narrow value and accessibility.</x:v>
      </x:c>
      <x:c r="H152" s="15" t="str">
        <x:v>S079</x:v>
      </x:c>
      <x:c r="I152" s="15" t="str">
        <x:v>https://writingguru.net/contact-us/</x:v>
      </x:c>
      <x:c r="J152" s="15" t="str">
        <x:v>INFERRED editorial judgment; underlying source classifications retained</x:v>
      </x:c>
    </x:row>
    <x:row r="153" ht="112" customHeight="1">
      <x:c r="A153" s="15" t="str">
        <x:v>C17</x:v>
      </x:c>
      <x:c r="B153" s="15" t="str">
        <x:v>The Writing Guru</x:v>
      </x:c>
      <x:c r="C153" s="15" t="str">
        <x:v>Service depth and personalization</x:v>
      </x:c>
      <x:c r="D153" s="36" t="n">
        <x:f>Rubric!F$6</x:f>
        <x:v>10</x:v>
      </x:c>
      <x:c r="E153" s="38" t="n">
        <x:f>'Score Inputs'!F22</x:f>
        <x:v>9.5</x:v>
      </x:c>
      <x:c r="F153" s="34" t="n">
        <x:f>D153*E153/Rubric!$B$8</x:f>
        <x:v>9.5</x:v>
      </x:c>
      <x:c r="G153" s="15" t="str">
        <x:v>Exclusive personal authorship, discovery and legal/board targeting provide unusually strong practitioner accountability.</x:v>
      </x:c>
      <x:c r="H153" s="15" t="str">
        <x:v>S121</x:v>
      </x:c>
      <x:c r="I153" s="15" t="str">
        <x:v>https://writingguru.net/wendi-weiner/</x:v>
      </x:c>
      <x:c r="J153" s="15" t="str">
        <x:v>INFERRED editorial judgment; underlying source classifications retained</x:v>
      </x:c>
    </x:row>
    <x:row r="154" ht="112" customHeight="1">
      <x:c r="A154" s="15" t="str">
        <x:v>C17</x:v>
      </x:c>
      <x:c r="B154" s="15" t="str">
        <x:v>The Writing Guru</x:v>
      </x:c>
      <x:c r="C154" s="15" t="str">
        <x:v>Writer qualifications and credentials</x:v>
      </x:c>
      <x:c r="D154" s="36" t="n">
        <x:f>Rubric!G$6</x:f>
        <x:v>10</x:v>
      </x:c>
      <x:c r="E154" s="38" t="n">
        <x:f>'Score Inputs'!G22</x:f>
        <x:v>9</x:v>
      </x:c>
      <x:c r="F154" s="34" t="n">
        <x:f>D154*E154/Rubric!$B$8</x:f>
        <x:v>9</x:v>
      </x:c>
      <x:c r="G154" s="15" t="str">
        <x:v>Current NCRW plus legal and teaching background support elite relevant preparation; NCOPE is not credited as currently verified.</x:v>
      </x:c>
      <x:c r="H154" s="15" t="str">
        <x:v>S080 S121</x:v>
      </x:c>
      <x:c r="I154" s="15" t="str">
        <x:v>https://thenrwa.org/Sys/PublicProfile/12181995/3660697
https://writingguru.net/wendi-weiner/</x:v>
      </x:c>
      <x:c r="J154" s="15" t="str">
        <x:v>INFERRED editorial judgment; underlying source classifications retained</x:v>
      </x:c>
    </x:row>
    <x:row r="155" ht="112" customHeight="1">
      <x:c r="A155" s="15" t="str">
        <x:v>C17</x:v>
      </x:c>
      <x:c r="B155" s="15" t="str">
        <x:v>The Writing Guru</x:v>
      </x:c>
      <x:c r="C155" s="15" t="str">
        <x:v>Quality standards and commitment</x:v>
      </x:c>
      <x:c r="D155" s="36" t="n">
        <x:f>Rubric!H$6</x:f>
        <x:v>10</x:v>
      </x:c>
      <x:c r="E155" s="38" t="n">
        <x:f>'Score Inputs'!H22</x:f>
        <x:v>8.5</x:v>
      </x:c>
      <x:c r="F155" s="34" t="n">
        <x:f>D155*E155/Rubric!$B$8</x:f>
        <x:v>8.5</x:v>
      </x:c>
      <x:c r="G155" s="15" t="str">
        <x:v>Writing-intensive professional background, explicit editorial work and detailed client accounts support strong process quality; redacted examples were not fully visually assessed.</x:v>
      </x:c>
      <x:c r="H155" s="15" t="str">
        <x:v>S082 S083</x:v>
      </x:c>
      <x:c r="I155" s="15" t="str">
        <x:v>https://writingguru.net/the-writing-guru-wendi-weiner-executive-resume-writer-reviews/
https://writingguru.net/resume-samples/</x:v>
      </x:c>
      <x:c r="J155" s="15" t="str">
        <x:v>INFERRED editorial judgment; underlying source classifications retained</x:v>
      </x:c>
    </x:row>
    <x:row r="156" ht="112" customHeight="1">
      <x:c r="A156" s="15" t="str">
        <x:v>C17</x:v>
      </x:c>
      <x:c r="B156" s="15" t="str">
        <x:v>The Writing Guru</x:v>
      </x:c>
      <x:c r="C156" s="15" t="str">
        <x:v>Serious complaints and resolution</x:v>
      </x:c>
      <x:c r="D156" s="36" t="n">
        <x:f>Rubric!I$6</x:f>
        <x:v>10</x:v>
      </x:c>
      <x:c r="E156" s="38" t="n">
        <x:f>'Score Inputs'!I22</x:f>
        <x:v>8</x:v>
      </x:c>
      <x:c r="F156" s="34" t="n">
        <x:f>D156*E156/Rubric!$B$8</x:f>
        <x:v>8</x:v>
      </x:c>
      <x:c r="G156" s="15" t="str">
        <x:v>Direct expert access and customer accounts support care; private dispute incidence and final cash remedies are not assumed.</x:v>
      </x:c>
      <x:c r="H156" s="15" t="str">
        <x:v>S079 S082</x:v>
      </x:c>
      <x:c r="I156" s="15" t="str">
        <x:v>https://writingguru.net/contact-us/
https://writingguru.net/the-writing-guru-wendi-weiner-executive-resume-writer-reviews/</x:v>
      </x:c>
      <x:c r="J156" s="15" t="str">
        <x:v>INFERRED editorial judgment; underlying source classifications retained</x:v>
      </x:c>
    </x:row>
    <x:row r="157" ht="112" customHeight="1">
      <x:c r="A157" s="15" t="str">
        <x:v>C17</x:v>
      </x:c>
      <x:c r="B157" s="15" t="str">
        <x:v>The Writing Guru</x:v>
      </x:c>
      <x:c r="C157" s="15" t="str">
        <x:v>History and stability</x:v>
      </x:c>
      <x:c r="D157" s="36" t="n">
        <x:f>Rubric!J$6</x:f>
        <x:v>5</x:v>
      </x:c>
      <x:c r="E157" s="38" t="n">
        <x:f>'Score Inputs'!J22</x:f>
        <x:v>8.5</x:v>
      </x:c>
      <x:c r="F157" s="34" t="n">
        <x:f>D157*E157/Rubric!$B$8</x:f>
        <x:v>4.25</x:v>
      </x:c>
      <x:c r="G157" s="15" t="str">
        <x:v>An established practice since 2010 is supported by the ABA announcement and company history.</x:v>
      </x:c>
      <x:c r="H157" s="15" t="str">
        <x:v>S116</x:v>
      </x:c>
      <x:c r="I157" s="15" t="str">
        <x:v>https://www.americanbar.org/news/abanews/aba-news-archives/2025/09/gp-solo-difference-makers-award-winners/</x:v>
      </x:c>
      <x:c r="J157" s="15" t="str">
        <x:v>INFERRED editorial judgment; underlying source classifications retained</x:v>
      </x:c>
    </x:row>
    <x:row r="158" ht="112" customHeight="1">
      <x:c r="A158" s="15" t="str">
        <x:v>C17</x:v>
      </x:c>
      <x:c r="B158" s="15" t="str">
        <x:v>The Writing Guru</x:v>
      </x:c>
      <x:c r="C158" s="15" t="str">
        <x:v>Independently supported professional reputation</x:v>
      </x:c>
      <x:c r="D158" s="36" t="n">
        <x:f>Rubric!K$6</x:f>
        <x:v>5</x:v>
      </x:c>
      <x:c r="E158" s="38" t="n">
        <x:f>'Score Inputs'!K22</x:f>
        <x:v>9.5</x:v>
      </x:c>
      <x:c r="F158" s="34" t="n">
        <x:f>D158*E158/Rubric!$B$8</x:f>
        <x:v>4.75</x:v>
      </x:c>
      <x:c r="G158" s="15" t="str">
        <x:v>The ABA service-to-profession award and substantial externally published professional work support exceptional standing, not a best-résumé award.</x:v>
      </x:c>
      <x:c r="H158" s="15" t="str">
        <x:v>S116</x:v>
      </x:c>
      <x:c r="I158" s="15" t="str">
        <x:v>https://www.americanbar.org/news/abanews/aba-news-archives/2025/09/gp-solo-difference-makers-award-winners/</x:v>
      </x:c>
      <x:c r="J158" s="15" t="str">
        <x:v>INFERRED editorial judgment; underlying source classifications retained</x:v>
      </x:c>
    </x:row>
    <x:row r="159" ht="112" customHeight="1">
      <x:c r="A159" s="15" t="str">
        <x:v>C18</x:v>
      </x:c>
      <x:c r="B159" s="15" t="str">
        <x:v>Career Impressions</x:v>
      </x:c>
      <x:c r="C159" s="15" t="str">
        <x:v>Credible customer feedback</x:v>
      </x:c>
      <x:c r="D159" s="36" t="n">
        <x:f>Rubric!C$6</x:f>
        <x:v>20</x:v>
      </x:c>
      <x:c r="E159" s="38" t="n">
        <x:f>'Score Inputs'!C23</x:f>
        <x:v>8.5</x:v>
      </x:c>
      <x:c r="F159" s="34" t="n">
        <x:f>D159*E159/Rubric!$B$8</x:f>
        <x:v>17</x:v>
      </x:c>
      <x:c r="G159" s="15" t="str">
        <x:v>Detailed executive client narratives support high satisfaction; the selected testimonial collection is not a complete independent census.</x:v>
      </x:c>
      <x:c r="H159" s="15" t="str">
        <x:v>S085</x:v>
      </x:c>
      <x:c r="I159" s="15" t="str">
        <x:v>https://careerimpressions.ca/testimonials/</x:v>
      </x:c>
      <x:c r="J159" s="15" t="str">
        <x:v>INFERRED editorial judgment; underlying source classifications retained</x:v>
      </x:c>
    </x:row>
    <x:row r="160" ht="112" customHeight="1">
      <x:c r="A160" s="15" t="str">
        <x:v>C18</x:v>
      </x:c>
      <x:c r="B160" s="15" t="str">
        <x:v>Career Impressions</x:v>
      </x:c>
      <x:c r="C160" s="15" t="str">
        <x:v>Documented results and track record</x:v>
      </x:c>
      <x:c r="D160" s="36" t="n">
        <x:f>Rubric!D$6</x:f>
        <x:v>15</x:v>
      </x:c>
      <x:c r="E160" s="38" t="n">
        <x:f>'Score Inputs'!D23</x:f>
        <x:v>8</x:v>
      </x:c>
      <x:c r="F160" s="34" t="n">
        <x:f>D160*E160/Rubric!$B$8</x:f>
        <x:v>12</x:v>
      </x:c>
      <x:c r="G160" s="15" t="str">
        <x:v>Specific screening, interview, promotion and offer accounts support a strong track record.</x:v>
      </x:c>
      <x:c r="H160" s="15" t="str">
        <x:v>S085</x:v>
      </x:c>
      <x:c r="I160" s="15" t="str">
        <x:v>https://careerimpressions.ca/testimonials/</x:v>
      </x:c>
      <x:c r="J160" s="15" t="str">
        <x:v>INFERRED editorial judgment; underlying source classifications retained</x:v>
      </x:c>
    </x:row>
    <x:row r="161" ht="112" customHeight="1">
      <x:c r="A161" s="15" t="str">
        <x:v>C18</x:v>
      </x:c>
      <x:c r="B161" s="15" t="str">
        <x:v>Career Impressions</x:v>
      </x:c>
      <x:c r="C161" s="15" t="str">
        <x:v>Pricing, value and transparency</x:v>
      </x:c>
      <x:c r="D161" s="36" t="n">
        <x:f>Rubric!E$6</x:f>
        <x:v>15</x:v>
      </x:c>
      <x:c r="E161" s="38" t="n">
        <x:f>'Score Inputs'!E23</x:f>
        <x:v>8</x:v>
      </x:c>
      <x:c r="F161" s="34" t="n">
        <x:f>D161*E161/Rubric!$B$8</x:f>
        <x:v>12</x:v>
      </x:c>
      <x:c r="G161" s="15" t="str">
        <x:v>Tiered executive scope and direct specialist service support good value; prices remain in Canadian dollars.</x:v>
      </x:c>
      <x:c r="H161" s="15" t="str">
        <x:v>S084</x:v>
      </x:c>
      <x:c r="I161" s="15" t="str">
        <x:v>https://careerimpressions.ca/packages/</x:v>
      </x:c>
      <x:c r="J161" s="15" t="str">
        <x:v>INFERRED editorial judgment; underlying source classifications retained</x:v>
      </x:c>
    </x:row>
    <x:row r="162" ht="112" customHeight="1">
      <x:c r="A162" s="15" t="str">
        <x:v>C18</x:v>
      </x:c>
      <x:c r="B162" s="15" t="str">
        <x:v>Career Impressions</x:v>
      </x:c>
      <x:c r="C162" s="15" t="str">
        <x:v>Service depth and personalization</x:v>
      </x:c>
      <x:c r="D162" s="36" t="n">
        <x:f>Rubric!F$6</x:f>
        <x:v>10</x:v>
      </x:c>
      <x:c r="E162" s="38" t="n">
        <x:f>'Score Inputs'!F23</x:f>
        <x:v>9.5</x:v>
      </x:c>
      <x:c r="F162" s="34" t="n">
        <x:f>D162*E162/Rubric!$B$8</x:f>
        <x:v>9.5</x:v>
      </x:c>
      <x:c r="G162" s="15" t="str">
        <x:v>Personal delivery, worksheet and strategic conversation provide unusually strong targeted engagement.</x:v>
      </x:c>
      <x:c r="H162" s="15" t="str">
        <x:v>S084</x:v>
      </x:c>
      <x:c r="I162" s="15" t="str">
        <x:v>https://careerimpressions.ca/packages/</x:v>
      </x:c>
      <x:c r="J162" s="15" t="str">
        <x:v>INFERRED editorial judgment; underlying source classifications retained</x:v>
      </x:c>
    </x:row>
    <x:row r="163" ht="112" customHeight="1">
      <x:c r="A163" s="15" t="str">
        <x:v>C18</x:v>
      </x:c>
      <x:c r="B163" s="15" t="str">
        <x:v>Career Impressions</x:v>
      </x:c>
      <x:c r="C163" s="15" t="str">
        <x:v>Writer qualifications and credentials</x:v>
      </x:c>
      <x:c r="D163" s="36" t="n">
        <x:f>Rubric!G$6</x:f>
        <x:v>10</x:v>
      </x:c>
      <x:c r="E163" s="38" t="n">
        <x:f>'Score Inputs'!G23</x:f>
        <x:v>9</x:v>
      </x:c>
      <x:c r="F163" s="34" t="n">
        <x:f>D163*E163/Rubric!$B$8</x:f>
        <x:v>9</x:v>
      </x:c>
      <x:c r="G163" s="15" t="str">
        <x:v>The named delivery practitioner is listed by the issuer as a Certified Executive Resume Master.</x:v>
      </x:c>
      <x:c r="H163" s="15" t="str">
        <x:v>S088</x:v>
      </x:c>
      <x:c r="I163" s="15" t="str">
        <x:v>https://careerdirectors.com/certified-executive-resume-masters-cerm/</x:v>
      </x:c>
      <x:c r="J163" s="15" t="str">
        <x:v>INFERRED editorial judgment; underlying source classifications retained</x:v>
      </x:c>
    </x:row>
    <x:row r="164" ht="112" customHeight="1">
      <x:c r="A164" s="15" t="str">
        <x:v>C18</x:v>
      </x:c>
      <x:c r="B164" s="15" t="str">
        <x:v>Career Impressions</x:v>
      </x:c>
      <x:c r="C164" s="15" t="str">
        <x:v>Quality standards and commitment</x:v>
      </x:c>
      <x:c r="D164" s="36" t="n">
        <x:f>Rubric!H$6</x:f>
        <x:v>10</x:v>
      </x:c>
      <x:c r="E164" s="38" t="n">
        <x:f>'Score Inputs'!H23</x:f>
        <x:v>8.5</x:v>
      </x:c>
      <x:c r="F164" s="34" t="n">
        <x:f>D164*E164/Rubric!$B$8</x:f>
        <x:v>8.5</x:v>
      </x:c>
      <x:c r="G164" s="15" t="str">
        <x:v>The inspected COO excerpt connects operating scale with outcomes; the review covers an excerpt, not the entire engagement.</x:v>
      </x:c>
      <x:c r="H164" s="15" t="str">
        <x:v>S087</x:v>
      </x:c>
      <x:c r="I164" s="15" t="str">
        <x:v>https://careerimpressions.ca/wp-content/uploads/2025/05/Image-2025-05-14-at-11.56%E2%80%AFAM.jpeg</x:v>
      </x:c>
      <x:c r="J164" s="15" t="str">
        <x:v>INFERRED editorial judgment; underlying source classifications retained</x:v>
      </x:c>
    </x:row>
    <x:row r="165" ht="112" customHeight="1">
      <x:c r="A165" s="15" t="str">
        <x:v>C18</x:v>
      </x:c>
      <x:c r="B165" s="15" t="str">
        <x:v>Career Impressions</x:v>
      </x:c>
      <x:c r="C165" s="15" t="str">
        <x:v>Serious complaints and resolution</x:v>
      </x:c>
      <x:c r="D165" s="36" t="n">
        <x:f>Rubric!I$6</x:f>
        <x:v>10</x:v>
      </x:c>
      <x:c r="E165" s="38" t="n">
        <x:f>'Score Inputs'!I23</x:f>
        <x:v>8</x:v>
      </x:c>
      <x:c r="F165" s="34" t="n">
        <x:f>D165*E165/Rubric!$B$8</x:f>
        <x:v>8</x:v>
      </x:c>
      <x:c r="G165" s="15" t="str">
        <x:v>Detailed service and follow-up accounts support care; current dispute-specific evidence is limited and does not establish perfection.</x:v>
      </x:c>
      <x:c r="H165" s="15" t="str">
        <x:v>S085</x:v>
      </x:c>
      <x:c r="I165" s="15" t="str">
        <x:v>https://careerimpressions.ca/testimonials/</x:v>
      </x:c>
      <x:c r="J165" s="15" t="str">
        <x:v>INFERRED editorial judgment; underlying source classifications retained</x:v>
      </x:c>
    </x:row>
    <x:row r="166" ht="112" customHeight="1">
      <x:c r="A166" s="15" t="str">
        <x:v>C18</x:v>
      </x:c>
      <x:c r="B166" s="15" t="str">
        <x:v>Career Impressions</x:v>
      </x:c>
      <x:c r="C166" s="15" t="str">
        <x:v>History and stability</x:v>
      </x:c>
      <x:c r="D166" s="36" t="n">
        <x:f>Rubric!J$6</x:f>
        <x:v>5</x:v>
      </x:c>
      <x:c r="E166" s="38" t="n">
        <x:f>'Score Inputs'!J23</x:f>
        <x:v>8.5</x:v>
      </x:c>
      <x:c r="F166" s="34" t="n">
        <x:f>D166*E166/Rubric!$B$8</x:f>
        <x:v>4.25</x:v>
      </x:c>
      <x:c r="G166" s="15" t="str">
        <x:v>A long-running specialist practice and multi-year professional record support continuity.</x:v>
      </x:c>
      <x:c r="H166" s="15" t="str">
        <x:v>S084 S120</x:v>
      </x:c>
      <x:c r="I166" s="15" t="str">
        <x:v>https://careerimpressions.ca/packages/
https://www.prweb.com/releases/career_directors_international_announces_2014_winners_of_the_tori_resume_writing_award_competition/prweb12326042.htm</x:v>
      </x:c>
      <x:c r="J166" s="15" t="str">
        <x:v>INFERRED editorial judgment; underlying source classifications retained</x:v>
      </x:c>
    </x:row>
    <x:row r="167" ht="112" customHeight="1">
      <x:c r="A167" s="15" t="str">
        <x:v>C18</x:v>
      </x:c>
      <x:c r="B167" s="15" t="str">
        <x:v>Career Impressions</x:v>
      </x:c>
      <x:c r="C167" s="15" t="str">
        <x:v>Independently supported professional reputation</x:v>
      </x:c>
      <x:c r="D167" s="36" t="n">
        <x:f>Rubric!K$6</x:f>
        <x:v>5</x:v>
      </x:c>
      <x:c r="E167" s="38" t="n">
        <x:f>'Score Inputs'!K23</x:f>
        <x:v>8.5</x:v>
      </x:c>
      <x:c r="F167" s="34" t="n">
        <x:f>D167*E167/Rubric!$B$8</x:f>
        <x:v>4.25</x:v>
      </x:c>
      <x:c r="G167" s="15" t="str">
        <x:v>Historical award results issued by the association support professional recognition separately from the CERM qualification.</x:v>
      </x:c>
      <x:c r="H167" s="15" t="str">
        <x:v>S120</x:v>
      </x:c>
      <x:c r="I167" s="15" t="str">
        <x:v>https://www.prweb.com/releases/career_directors_international_announces_2014_winners_of_the_tori_resume_writing_award_competition/prweb12326042.htm</x:v>
      </x:c>
      <x:c r="J167" s="15" t="str">
        <x:v>INFERRED editorial judgment; underlying source classifications retained</x:v>
      </x:c>
    </x:row>
    <x:row r="168" ht="112" customHeight="1">
      <x:c r="A168" s="15" t="str">
        <x:v>C19</x:v>
      </x:c>
      <x:c r="B168" s="15" t="str">
        <x:v>CareerProPlus / CareerPro Global</x:v>
      </x:c>
      <x:c r="C168" s="15" t="str">
        <x:v>Credible customer feedback</x:v>
      </x:c>
      <x:c r="D168" s="36" t="n">
        <x:f>Rubric!C$6</x:f>
        <x:v>20</x:v>
      </x:c>
      <x:c r="E168" s="38" t="n">
        <x:f>'Score Inputs'!C24</x:f>
        <x:v>8</x:v>
      </x:c>
      <x:c r="F168" s="34" t="n">
        <x:f>D168*E168/Rubric!$B$8</x:f>
        <x:v>16</x:v>
      </x:c>
      <x:c r="G168" s="15" t="str">
        <x:v>Recent BBB customer accounts describe accessibility and specialist value, including repeat use.</x:v>
      </x:c>
      <x:c r="H168" s="15" t="str">
        <x:v>S091</x:v>
      </x:c>
      <x:c r="I168" s="15" t="str">
        <x:v>https://www.bbb.org/us/ga/macon/profile/career-counseling/careerpro-global-inc-0743-6495/customer-reviews</x:v>
      </x:c>
      <x:c r="J168" s="15" t="str">
        <x:v>INFERRED editorial judgment; underlying source classifications retained</x:v>
      </x:c>
    </x:row>
    <x:row r="169" ht="112" customHeight="1">
      <x:c r="A169" s="15" t="str">
        <x:v>C19</x:v>
      </x:c>
      <x:c r="B169" s="15" t="str">
        <x:v>CareerProPlus / CareerPro Global</x:v>
      </x:c>
      <x:c r="C169" s="15" t="str">
        <x:v>Documented results and track record</x:v>
      </x:c>
      <x:c r="D169" s="36" t="n">
        <x:f>Rubric!D$6</x:f>
        <x:v>15</x:v>
      </x:c>
      <x:c r="E169" s="38" t="n">
        <x:f>'Score Inputs'!D24</x:f>
        <x:v>7</x:v>
      </x:c>
      <x:c r="F169" s="34" t="n">
        <x:f>D169*E169/Rubric!$B$8</x:f>
        <x:v>10.5</x:v>
      </x:c>
      <x:c r="G169" s="15" t="str">
        <x:v>Individual outcomes and return engagements support benefit; no service-wide interview or appointment rate is assumed.</x:v>
      </x:c>
      <x:c r="H169" s="15" t="str">
        <x:v>S091</x:v>
      </x:c>
      <x:c r="I169" s="15" t="str">
        <x:v>https://www.bbb.org/us/ga/macon/profile/career-counseling/careerpro-global-inc-0743-6495/customer-reviews</x:v>
      </x:c>
      <x:c r="J169" s="15" t="str">
        <x:v>INFERRED editorial judgment; underlying source classifications retained</x:v>
      </x:c>
    </x:row>
    <x:row r="170" ht="112" customHeight="1">
      <x:c r="A170" s="15" t="str">
        <x:v>C19</x:v>
      </x:c>
      <x:c r="B170" s="15" t="str">
        <x:v>CareerProPlus / CareerPro Global</x:v>
      </x:c>
      <x:c r="C170" s="15" t="str">
        <x:v>Pricing, value and transparency</x:v>
      </x:c>
      <x:c r="D170" s="36" t="n">
        <x:f>Rubric!E$6</x:f>
        <x:v>15</x:v>
      </x:c>
      <x:c r="E170" s="38" t="n">
        <x:f>'Score Inputs'!E24</x:f>
        <x:v>7</x:v>
      </x:c>
      <x:c r="F170" s="34" t="n">
        <x:f>D170*E170/Rubric!$B$8</x:f>
        <x:v>10.5</x:v>
      </x:c>
      <x:c r="G170" s="15" t="str">
        <x:v>Specialist scope supports a substantive service proposition; price remains quote-based/unknown, so this is a scope-led value judgment, not a cost estimate.</x:v>
      </x:c>
      <x:c r="H170" s="15" t="str">
        <x:v>S089 S091</x:v>
      </x:c>
      <x:c r="I170" s="15" t="str">
        <x:v>https://www.careerproplus.com/
https://www.bbb.org/us/ga/macon/profile/career-counseling/careerpro-global-inc-0743-6495/customer-reviews</x:v>
      </x:c>
      <x:c r="J170" s="15" t="str">
        <x:v>INFERRED editorial judgment; underlying source classifications retained</x:v>
      </x:c>
    </x:row>
    <x:row r="171" ht="112" customHeight="1">
      <x:c r="A171" s="15" t="str">
        <x:v>C19</x:v>
      </x:c>
      <x:c r="B171" s="15" t="str">
        <x:v>CareerProPlus / CareerPro Global</x:v>
      </x:c>
      <x:c r="C171" s="15" t="str">
        <x:v>Service depth and personalization</x:v>
      </x:c>
      <x:c r="D171" s="36" t="n">
        <x:f>Rubric!F$6</x:f>
        <x:v>10</x:v>
      </x:c>
      <x:c r="E171" s="38" t="n">
        <x:f>'Score Inputs'!F24</x:f>
        <x:v>8.5</x:v>
      </x:c>
      <x:c r="F171" s="34" t="n">
        <x:f>D171*E171/Rubric!$B$8</x:f>
        <x:v>8.5</x:v>
      </x:c>
      <x:c r="G171" s="15" t="str">
        <x:v>Federal and senior-narrative specialization support targeted work; current complete contractual scope was not fully accessible.</x:v>
      </x:c>
      <x:c r="H171" s="15" t="str">
        <x:v>S091</x:v>
      </x:c>
      <x:c r="I171" s="15" t="str">
        <x:v>https://www.bbb.org/us/ga/macon/profile/career-counseling/careerpro-global-inc-0743-6495/customer-reviews</x:v>
      </x:c>
      <x:c r="J171" s="15" t="str">
        <x:v>INFERRED editorial judgment; underlying source classifications retained</x:v>
      </x:c>
    </x:row>
    <x:row r="172" ht="112" customHeight="1">
      <x:c r="A172" s="15" t="str">
        <x:v>C19</x:v>
      </x:c>
      <x:c r="B172" s="15" t="str">
        <x:v>CareerProPlus / CareerPro Global</x:v>
      </x:c>
      <x:c r="C172" s="15" t="str">
        <x:v>Writer qualifications and credentials</x:v>
      </x:c>
      <x:c r="D172" s="36" t="n">
        <x:f>Rubric!G$6</x:f>
        <x:v>10</x:v>
      </x:c>
      <x:c r="E172" s="38" t="n">
        <x:f>'Score Inputs'!G24</x:f>
        <x:v>8</x:v>
      </x:c>
      <x:c r="F172" s="34" t="n">
        <x:f>D172*E172/Rubric!$B$8</x:f>
        <x:v>8</x:v>
      </x:c>
      <x:c r="G172" s="15" t="str">
        <x:v>Established specialist experience supports competence, while current assigned-writer issuer status remains incomplete.</x:v>
      </x:c>
      <x:c r="H172" s="15" t="str">
        <x:v>S090 S091</x:v>
      </x:c>
      <x:c r="I172" s="15" t="str">
        <x:v>https://www.bbb.org/us/ga/macon/profile/career-counseling/careerpro-global-inc-0743-6495
https://www.bbb.org/us/ga/macon/profile/career-counseling/careerpro-global-inc-0743-6495/customer-reviews</x:v>
      </x:c>
      <x:c r="J172" s="15" t="str">
        <x:v>INFERRED editorial judgment; underlying source classifications retained</x:v>
      </x:c>
    </x:row>
    <x:row r="173" ht="112" customHeight="1">
      <x:c r="A173" s="15" t="str">
        <x:v>C19</x:v>
      </x:c>
      <x:c r="B173" s="15" t="str">
        <x:v>CareerProPlus / CareerPro Global</x:v>
      </x:c>
      <x:c r="C173" s="15" t="str">
        <x:v>Quality standards and commitment</x:v>
      </x:c>
      <x:c r="D173" s="36" t="n">
        <x:f>Rubric!H$6</x:f>
        <x:v>10</x:v>
      </x:c>
      <x:c r="E173" s="38" t="n">
        <x:f>'Score Inputs'!H24</x:f>
        <x:v>7.5</x:v>
      </x:c>
      <x:c r="F173" s="34" t="n">
        <x:f>D173*E173/Rubric!$B$8</x:f>
        <x:v>7.5</x:v>
      </x:c>
      <x:c r="G173" s="15" t="str">
        <x:v>Specific customer accounts support capable specialist drafting; a complete visual sample was not inspected.</x:v>
      </x:c>
      <x:c r="H173" s="15" t="str">
        <x:v>S091</x:v>
      </x:c>
      <x:c r="I173" s="15" t="str">
        <x:v>https://www.bbb.org/us/ga/macon/profile/career-counseling/careerpro-global-inc-0743-6495/customer-reviews</x:v>
      </x:c>
      <x:c r="J173" s="15" t="str">
        <x:v>INFERRED editorial judgment; underlying source classifications retained</x:v>
      </x:c>
    </x:row>
    <x:row r="174" ht="112" customHeight="1">
      <x:c r="A174" s="15" t="str">
        <x:v>C19</x:v>
      </x:c>
      <x:c r="B174" s="15" t="str">
        <x:v>CareerProPlus / CareerPro Global</x:v>
      </x:c>
      <x:c r="C174" s="15" t="str">
        <x:v>Serious complaints and resolution</x:v>
      </x:c>
      <x:c r="D174" s="36" t="n">
        <x:f>Rubric!I$6</x:f>
        <x:v>10</x:v>
      </x:c>
      <x:c r="E174" s="38" t="n">
        <x:f>'Score Inputs'!I24</x:f>
        <x:v>7.5</x:v>
      </x:c>
      <x:c r="F174" s="34" t="n">
        <x:f>D174*E174/Rubric!$B$8</x:f>
        <x:v>7.5</x:v>
      </x:c>
      <x:c r="G174" s="15" t="str">
        <x:v>Accessible support accounts are favorable; the single unpublished BBB complaint cannot establish either wrongdoing or perfect resolution.</x:v>
      </x:c>
      <x:c r="H174" s="15" t="str">
        <x:v>S091 S092</x:v>
      </x:c>
      <x:c r="I174" s="15" t="str">
        <x:v>https://www.bbb.org/us/ga/macon/profile/career-counseling/careerpro-global-inc-0743-6495/customer-reviews
https://www.bbb.org/us/ga/macon/profile/career-counseling/careerpro-global-inc-0743-6495/complaints</x:v>
      </x:c>
      <x:c r="J174" s="15" t="str">
        <x:v>INFERRED editorial judgment; underlying source classifications retained</x:v>
      </x:c>
    </x:row>
    <x:row r="175" ht="112" customHeight="1">
      <x:c r="A175" s="15" t="str">
        <x:v>C19</x:v>
      </x:c>
      <x:c r="B175" s="15" t="str">
        <x:v>CareerProPlus / CareerPro Global</x:v>
      </x:c>
      <x:c r="C175" s="15" t="str">
        <x:v>History and stability</x:v>
      </x:c>
      <x:c r="D175" s="36" t="n">
        <x:f>Rubric!J$6</x:f>
        <x:v>5</x:v>
      </x:c>
      <x:c r="E175" s="38" t="n">
        <x:f>'Score Inputs'!J24</x:f>
        <x:v>9.5</x:v>
      </x:c>
      <x:c r="F175" s="34" t="n">
        <x:f>D175*E175/Rubric!$B$8</x:f>
        <x:v>4.75</x:v>
      </x:c>
      <x:c r="G175" s="15" t="str">
        <x:v>BBB identifies a business history dating to 1986, supporting exceptional operating longevity.</x:v>
      </x:c>
      <x:c r="H175" s="15" t="str">
        <x:v>S090</x:v>
      </x:c>
      <x:c r="I175" s="15" t="str">
        <x:v>https://www.bbb.org/us/ga/macon/profile/career-counseling/careerpro-global-inc-0743-6495</x:v>
      </x:c>
      <x:c r="J175" s="15" t="str">
        <x:v>INFERRED editorial judgment; underlying source classifications retained</x:v>
      </x:c>
    </x:row>
    <x:row r="176" ht="112" customHeight="1">
      <x:c r="A176" s="15" t="str">
        <x:v>C19</x:v>
      </x:c>
      <x:c r="B176" s="15" t="str">
        <x:v>CareerProPlus / CareerPro Global</x:v>
      </x:c>
      <x:c r="C176" s="15" t="str">
        <x:v>Independently supported professional reputation</x:v>
      </x:c>
      <x:c r="D176" s="36" t="n">
        <x:f>Rubric!K$6</x:f>
        <x:v>5</x:v>
      </x:c>
      <x:c r="E176" s="38" t="n">
        <x:f>'Score Inputs'!K24</x:f>
        <x:v>8.5</x:v>
      </x:c>
      <x:c r="F176" s="34" t="n">
        <x:f>D176*E176/Rubric!$B$8</x:f>
        <x:v>4.25</x:v>
      </x:c>
      <x:c r="G176" s="15" t="str">
        <x:v>A sustained specialist professional presence is supported by the external business record and federal practice; a blanket endorsement is not inferred.</x:v>
      </x:c>
      <x:c r="H176" s="15" t="str">
        <x:v>S090 S091</x:v>
      </x:c>
      <x:c r="I176" s="15" t="str">
        <x:v>https://www.bbb.org/us/ga/macon/profile/career-counseling/careerpro-global-inc-0743-6495
https://www.bbb.org/us/ga/macon/profile/career-counseling/careerpro-global-inc-0743-6495/customer-reviews</x:v>
      </x:c>
      <x:c r="J176" s="15" t="str">
        <x:v>INFERRED editorial judgment; underlying source classifications retained</x:v>
      </x:c>
    </x:row>
    <x:row r="177" ht="112" customHeight="1">
      <x:c r="A177" s="15" t="str">
        <x:v>C20</x:v>
      </x:c>
      <x:c r="B177" s="15" t="str">
        <x:v>Career Steering</x:v>
      </x:c>
      <x:c r="C177" s="15" t="str">
        <x:v>Credible customer feedback</x:v>
      </x:c>
      <x:c r="D177" s="36" t="n">
        <x:f>Rubric!C$6</x:f>
        <x:v>20</x:v>
      </x:c>
      <x:c r="E177" s="38" t="n">
        <x:f>'Score Inputs'!C25</x:f>
        <x:v>8.5</x:v>
      </x:c>
      <x:c r="F177" s="34" t="n">
        <x:f>D177*E177/Rubric!$B$8</x:f>
        <x:v>17</x:v>
      </x:c>
      <x:c r="G177" s="15" t="str">
        <x:v>Detailed source-associated reviews include repeat executive work and responsive service.</x:v>
      </x:c>
      <x:c r="H177" s="15" t="str">
        <x:v>S093</x:v>
      </x:c>
      <x:c r="I177" s="15" t="str">
        <x:v>https://careersteering.com/executive-resume-service-writing-services/</x:v>
      </x:c>
      <x:c r="J177" s="15" t="str">
        <x:v>INFERRED editorial judgment; underlying source classifications retained</x:v>
      </x:c>
    </x:row>
    <x:row r="178" ht="112" customHeight="1">
      <x:c r="A178" s="15" t="str">
        <x:v>C20</x:v>
      </x:c>
      <x:c r="B178" s="15" t="str">
        <x:v>Career Steering</x:v>
      </x:c>
      <x:c r="C178" s="15" t="str">
        <x:v>Documented results and track record</x:v>
      </x:c>
      <x:c r="D178" s="36" t="n">
        <x:f>Rubric!D$6</x:f>
        <x:v>15</x:v>
      </x:c>
      <x:c r="E178" s="38" t="n">
        <x:f>'Score Inputs'!D25</x:f>
        <x:v>8</x:v>
      </x:c>
      <x:c r="F178" s="34" t="n">
        <x:f>D178*E178/Rubric!$B$8</x:f>
        <x:v>12</x:v>
      </x:c>
      <x:c r="G178" s="15" t="str">
        <x:v>Specific career-progress and repeat-use accounts support a strong track record; the advertised referral percentage is not treated as audited.</x:v>
      </x:c>
      <x:c r="H178" s="15" t="str">
        <x:v>S093</x:v>
      </x:c>
      <x:c r="I178" s="15" t="str">
        <x:v>https://careersteering.com/executive-resume-service-writing-services/</x:v>
      </x:c>
      <x:c r="J178" s="15" t="str">
        <x:v>INFERRED editorial judgment; underlying source classifications retained</x:v>
      </x:c>
    </x:row>
    <x:row r="179" ht="112" customHeight="1">
      <x:c r="A179" s="15" t="str">
        <x:v>C20</x:v>
      </x:c>
      <x:c r="B179" s="15" t="str">
        <x:v>Career Steering</x:v>
      </x:c>
      <x:c r="C179" s="15" t="str">
        <x:v>Pricing, value and transparency</x:v>
      </x:c>
      <x:c r="D179" s="36" t="n">
        <x:f>Rubric!E$6</x:f>
        <x:v>15</x:v>
      </x:c>
      <x:c r="E179" s="38" t="n">
        <x:f>'Score Inputs'!E25</x:f>
        <x:v>7.5</x:v>
      </x:c>
      <x:c r="F179" s="34" t="n">
        <x:f>D179*E179/Rubric!$B$8</x:f>
        <x:v>11.25</x:v>
      </x:c>
      <x:c r="G179" s="15" t="str">
        <x:v>A premium résumé price buys direct senior-practitioner discovery; longer timing and no-refund terms narrow the value proposition.</x:v>
      </x:c>
      <x:c r="H179" s="15" t="str">
        <x:v>S093</x:v>
      </x:c>
      <x:c r="I179" s="15" t="str">
        <x:v>https://careersteering.com/executive-resume-service-writing-services/</x:v>
      </x:c>
      <x:c r="J179" s="15" t="str">
        <x:v>INFERRED editorial judgment; underlying source classifications retained</x:v>
      </x:c>
    </x:row>
    <x:row r="180" ht="112" customHeight="1">
      <x:c r="A180" s="15" t="str">
        <x:v>C20</x:v>
      </x:c>
      <x:c r="B180" s="15" t="str">
        <x:v>Career Steering</x:v>
      </x:c>
      <x:c r="C180" s="15" t="str">
        <x:v>Service depth and personalization</x:v>
      </x:c>
      <x:c r="D180" s="36" t="n">
        <x:f>Rubric!F$6</x:f>
        <x:v>10</x:v>
      </x:c>
      <x:c r="E180" s="38" t="n">
        <x:f>'Score Inputs'!F25</x:f>
        <x:v>9.5</x:v>
      </x:c>
      <x:c r="F180" s="34" t="n">
        <x:f>D180*E180/Rubric!$B$8</x:f>
        <x:v>9.5</x:v>
      </x:c>
      <x:c r="G180" s="15" t="str">
        <x:v>Named practitioner involvement through discovery and writing provides unusually strong accountability.</x:v>
      </x:c>
      <x:c r="H180" s="15" t="str">
        <x:v>S093</x:v>
      </x:c>
      <x:c r="I180" s="15" t="str">
        <x:v>https://careersteering.com/executive-resume-service-writing-services/</x:v>
      </x:c>
      <x:c r="J180" s="15" t="str">
        <x:v>INFERRED editorial judgment; underlying source classifications retained</x:v>
      </x:c>
    </x:row>
    <x:row r="181" ht="112" customHeight="1">
      <x:c r="A181" s="15" t="str">
        <x:v>C20</x:v>
      </x:c>
      <x:c r="B181" s="15" t="str">
        <x:v>Career Steering</x:v>
      </x:c>
      <x:c r="C181" s="15" t="str">
        <x:v>Writer qualifications and credentials</x:v>
      </x:c>
      <x:c r="D181" s="36" t="n">
        <x:f>Rubric!G$6</x:f>
        <x:v>10</x:v>
      </x:c>
      <x:c r="E181" s="38" t="n">
        <x:f>'Score Inputs'!G25</x:f>
        <x:v>8.5</x:v>
      </x:c>
      <x:c r="F181" s="34" t="n">
        <x:f>D181*E181/Rubric!$B$8</x:f>
        <x:v>8.5</x:v>
      </x:c>
      <x:c r="G181" s="15" t="str">
        <x:v>A named expert with historical association-documented master-writer background supports strong preparation; current renewal of every credential is not assumed.</x:v>
      </x:c>
      <x:c r="H181" s="15" t="str">
        <x:v>S118 S093</x:v>
      </x:c>
      <x:c r="I181" s="15" t="str">
        <x:v>https://careerdirectors.com/recruiters-call-great-cover-letter/
https://careersteering.com/executive-resume-service-writing-services/</x:v>
      </x:c>
      <x:c r="J181" s="15" t="str">
        <x:v>INFERRED editorial judgment; underlying source classifications retained</x:v>
      </x:c>
    </x:row>
    <x:row r="182" ht="112" customHeight="1">
      <x:c r="A182" s="15" t="str">
        <x:v>C20</x:v>
      </x:c>
      <x:c r="B182" s="15" t="str">
        <x:v>Career Steering</x:v>
      </x:c>
      <x:c r="C182" s="15" t="str">
        <x:v>Quality standards and commitment</x:v>
      </x:c>
      <x:c r="D182" s="36" t="n">
        <x:f>Rubric!H$6</x:f>
        <x:v>10</x:v>
      </x:c>
      <x:c r="E182" s="38" t="n">
        <x:f>'Score Inputs'!H25</x:f>
        <x:v>8</x:v>
      </x:c>
      <x:c r="F182" s="34" t="n">
        <x:f>D182*E182/Rubric!$B$8</x:f>
        <x:v>8</x:v>
      </x:c>
      <x:c r="G182" s="15" t="str">
        <x:v>Detailed customer descriptions and explicit process support strong craftsmanship; no complete résumé was visually assessed in the retained audit.</x:v>
      </x:c>
      <x:c r="H182" s="15" t="str">
        <x:v>S093</x:v>
      </x:c>
      <x:c r="I182" s="15" t="str">
        <x:v>https://careersteering.com/executive-resume-service-writing-services/</x:v>
      </x:c>
      <x:c r="J182" s="15" t="str">
        <x:v>INFERRED editorial judgment; underlying source classifications retained</x:v>
      </x:c>
    </x:row>
    <x:row r="183" ht="112" customHeight="1">
      <x:c r="A183" s="15" t="str">
        <x:v>C20</x:v>
      </x:c>
      <x:c r="B183" s="15" t="str">
        <x:v>Career Steering</x:v>
      </x:c>
      <x:c r="C183" s="15" t="str">
        <x:v>Serious complaints and resolution</x:v>
      </x:c>
      <x:c r="D183" s="36" t="n">
        <x:f>Rubric!I$6</x:f>
        <x:v>10</x:v>
      </x:c>
      <x:c r="E183" s="38" t="n">
        <x:f>'Score Inputs'!I25</x:f>
        <x:v>7.5</x:v>
      </x:c>
      <x:c r="F183" s="34" t="n">
        <x:f>D183*E183/Rubric!$B$8</x:f>
        <x:v>7.5</x:v>
      </x:c>
      <x:c r="G183" s="15" t="str">
        <x:v>Direct access and repeat customers are favorable, while no-refund conditions limit the commercial remedy.</x:v>
      </x:c>
      <x:c r="H183" s="15" t="str">
        <x:v>S093</x:v>
      </x:c>
      <x:c r="I183" s="15" t="str">
        <x:v>https://careersteering.com/executive-resume-service-writing-services/</x:v>
      </x:c>
      <x:c r="J183" s="15" t="str">
        <x:v>INFERRED editorial judgment; underlying source classifications retained</x:v>
      </x:c>
    </x:row>
    <x:row r="184" ht="112" customHeight="1">
      <x:c r="A184" s="15" t="str">
        <x:v>C20</x:v>
      </x:c>
      <x:c r="B184" s="15" t="str">
        <x:v>Career Steering</x:v>
      </x:c>
      <x:c r="C184" s="15" t="str">
        <x:v>History and stability</x:v>
      </x:c>
      <x:c r="D184" s="36" t="n">
        <x:f>Rubric!J$6</x:f>
        <x:v>5</x:v>
      </x:c>
      <x:c r="E184" s="38" t="n">
        <x:f>'Score Inputs'!J25</x:f>
        <x:v>9</x:v>
      </x:c>
      <x:c r="F184" s="34" t="n">
        <x:f>D184*E184/Rubric!$B$8</x:f>
        <x:v>4.5</x:v>
      </x:c>
      <x:c r="G184" s="15" t="str">
        <x:v>Historical association publications, awards and continuing service support a long-running practice.</x:v>
      </x:c>
      <x:c r="H184" s="15" t="str">
        <x:v>S118 S120</x:v>
      </x:c>
      <x:c r="I184" s="15" t="str">
        <x:v>https://careerdirectors.com/recruiters-call-great-cover-letter/
https://www.prweb.com/releases/career_directors_international_announces_2014_winners_of_the_tori_resume_writing_award_competition/prweb12326042.htm</x:v>
      </x:c>
      <x:c r="J184" s="15" t="str">
        <x:v>INFERRED editorial judgment; underlying source classifications retained</x:v>
      </x:c>
    </x:row>
    <x:row r="185" ht="112" customHeight="1">
      <x:c r="A185" s="15" t="str">
        <x:v>C20</x:v>
      </x:c>
      <x:c r="B185" s="15" t="str">
        <x:v>Career Steering</x:v>
      </x:c>
      <x:c r="C185" s="15" t="str">
        <x:v>Independently supported professional reputation</x:v>
      </x:c>
      <x:c r="D185" s="36" t="n">
        <x:f>Rubric!K$6</x:f>
        <x:v>5</x:v>
      </x:c>
      <x:c r="E185" s="38" t="n">
        <x:f>'Score Inputs'!K25</x:f>
        <x:v>8</x:v>
      </x:c>
      <x:c r="F185" s="34" t="n">
        <x:f>D185*E185/Rubric!$B$8</x:f>
        <x:v>4</x:v>
      </x:c>
      <x:c r="G185" s="15" t="str">
        <x:v>Historical association awards and published professional contributions support standing independently of customer stars.</x:v>
      </x:c>
      <x:c r="H185" s="15" t="str">
        <x:v>S120 S118</x:v>
      </x:c>
      <x:c r="I185" s="15" t="str">
        <x:v>https://www.prweb.com/releases/career_directors_international_announces_2014_winners_of_the_tori_resume_writing_award_competition/prweb12326042.htm
https://careerdirectors.com/recruiters-call-great-cover-letter/</x:v>
      </x:c>
      <x:c r="J185" s="15" t="str">
        <x:v>INFERRED editorial judgment; underlying source classifications retained</x:v>
      </x:c>
    </x:row>
    <x:row r="186" ht="112" customHeight="1">
      <x:c r="A186" s="15" t="str">
        <x:v>C21</x:v>
      </x:c>
      <x:c r="B186" s="15" t="str">
        <x:v>Blue Sky Resumes</x:v>
      </x:c>
      <x:c r="C186" s="15" t="str">
        <x:v>Credible customer feedback</x:v>
      </x:c>
      <x:c r="D186" s="36" t="n">
        <x:f>Rubric!C$6</x:f>
        <x:v>20</x:v>
      </x:c>
      <x:c r="E186" s="38" t="n">
        <x:f>'Score Inputs'!C26</x:f>
        <x:v>7.5</x:v>
      </x:c>
      <x:c r="F186" s="34" t="n">
        <x:f>D186*E186/Rubric!$B$8</x:f>
        <x:v>15</x:v>
      </x:c>
      <x:c r="G186" s="15" t="str">
        <x:v>Positive customer accounts support the service, but much independent feedback is older. Continuity makes that evidence relevant rather than worthless.</x:v>
      </x:c>
      <x:c r="H186" s="15" t="str">
        <x:v>S112 S096</x:v>
      </x:c>
      <x:c r="I186" s="15" t="str">
        <x:v>https://www.blueskyresumes.com/about-us/are-we-a-good-fit/
https://www.blueskyresumes.com/our-team/</x:v>
      </x:c>
      <x:c r="J186" s="15" t="str">
        <x:v>INFERRED editorial judgment; underlying source classifications retained</x:v>
      </x:c>
    </x:row>
    <x:row r="187" ht="112" customHeight="1">
      <x:c r="A187" s="15" t="str">
        <x:v>C21</x:v>
      </x:c>
      <x:c r="B187" s="15" t="str">
        <x:v>Blue Sky Resumes</x:v>
      </x:c>
      <x:c r="C187" s="15" t="str">
        <x:v>Documented results and track record</x:v>
      </x:c>
      <x:c r="D187" s="36" t="n">
        <x:f>Rubric!D$6</x:f>
        <x:v>15</x:v>
      </x:c>
      <x:c r="E187" s="38" t="n">
        <x:f>'Score Inputs'!D26</x:f>
        <x:v>7.5</x:v>
      </x:c>
      <x:c r="F187" s="34" t="n">
        <x:f>D187*E187/Rubric!$B$8</x:f>
        <x:v>11.25</x:v>
      </x:c>
      <x:c r="G187" s="15" t="str">
        <x:v>Selected career-progress and repeat-use accounts support practical benefit, without a current measured success rate.</x:v>
      </x:c>
      <x:c r="H187" s="15" t="str">
        <x:v>S112 S095</x:v>
      </x:c>
      <x:c r="I187" s="15" t="str">
        <x:v>https://www.blueskyresumes.com/about-us/are-we-a-good-fit/
https://www.blueskyresumes.com/our-services/</x:v>
      </x:c>
      <x:c r="J187" s="15" t="str">
        <x:v>INFERRED editorial judgment; underlying source classifications retained</x:v>
      </x:c>
    </x:row>
    <x:row r="188" ht="112" customHeight="1">
      <x:c r="A188" s="15" t="str">
        <x:v>C21</x:v>
      </x:c>
      <x:c r="B188" s="15" t="str">
        <x:v>Blue Sky Resumes</x:v>
      </x:c>
      <x:c r="C188" s="15" t="str">
        <x:v>Pricing, value and transparency</x:v>
      </x:c>
      <x:c r="D188" s="36" t="n">
        <x:f>Rubric!E$6</x:f>
        <x:v>15</x:v>
      </x:c>
      <x:c r="E188" s="38" t="n">
        <x:f>'Score Inputs'!E26</x:f>
        <x:v>8.5</x:v>
      </x:c>
      <x:c r="F188" s="34" t="n">
        <x:f>D188*E188/Rubric!$B$8</x:f>
        <x:v>12.75</x:v>
      </x:c>
      <x:c r="G188" s="15" t="str">
        <x:v>Published starting fees are accessible for a tailored professional service; final scope remains individualized.</x:v>
      </x:c>
      <x:c r="H188" s="15" t="str">
        <x:v>S095</x:v>
      </x:c>
      <x:c r="I188" s="15" t="str">
        <x:v>https://www.blueskyresumes.com/our-services/</x:v>
      </x:c>
      <x:c r="J188" s="15" t="str">
        <x:v>INFERRED editorial judgment; underlying source classifications retained</x:v>
      </x:c>
    </x:row>
    <x:row r="189" ht="112" customHeight="1">
      <x:c r="A189" s="15" t="str">
        <x:v>C21</x:v>
      </x:c>
      <x:c r="B189" s="15" t="str">
        <x:v>Blue Sky Resumes</x:v>
      </x:c>
      <x:c r="C189" s="15" t="str">
        <x:v>Service depth and personalization</x:v>
      </x:c>
      <x:c r="D189" s="36" t="n">
        <x:f>Rubric!F$6</x:f>
        <x:v>10</x:v>
      </x:c>
      <x:c r="E189" s="38" t="n">
        <x:f>'Score Inputs'!F26</x:f>
        <x:v>8.5</x:v>
      </x:c>
      <x:c r="F189" s="34" t="n">
        <x:f>D189*E189/Rubric!$B$8</x:f>
        <x:v>8.5</x:v>
      </x:c>
      <x:c r="G189" s="15" t="str">
        <x:v>Substantive intake, relevant writer matching and explicit fit boundaries support customization.</x:v>
      </x:c>
      <x:c r="H189" s="15" t="str">
        <x:v>S112</x:v>
      </x:c>
      <x:c r="I189" s="15" t="str">
        <x:v>https://www.blueskyresumes.com/about-us/are-we-a-good-fit/</x:v>
      </x:c>
      <x:c r="J189" s="15" t="str">
        <x:v>INFERRED editorial judgment; underlying source classifications retained</x:v>
      </x:c>
    </x:row>
    <x:row r="190" ht="112" customHeight="1">
      <x:c r="A190" s="15" t="str">
        <x:v>C21</x:v>
      </x:c>
      <x:c r="B190" s="15" t="str">
        <x:v>Blue Sky Resumes</x:v>
      </x:c>
      <x:c r="C190" s="15" t="str">
        <x:v>Writer qualifications and credentials</x:v>
      </x:c>
      <x:c r="D190" s="36" t="n">
        <x:f>Rubric!G$6</x:f>
        <x:v>10</x:v>
      </x:c>
      <x:c r="E190" s="38" t="n">
        <x:f>'Score Inputs'!G26</x:f>
        <x:v>7.5</x:v>
      </x:c>
      <x:c r="F190" s="34" t="n">
        <x:f>D190*E190/Rubric!$B$8</x:f>
        <x:v>7.5</x:v>
      </x:c>
      <x:c r="G190" s="15" t="str">
        <x:v>Experienced career-writing personnel and continuity support competence; current external credentials are not established for every writer.</x:v>
      </x:c>
      <x:c r="H190" s="15" t="str">
        <x:v>S096</x:v>
      </x:c>
      <x:c r="I190" s="15" t="str">
        <x:v>https://www.blueskyresumes.com/our-team/</x:v>
      </x:c>
      <x:c r="J190" s="15" t="str">
        <x:v>INFERRED editorial judgment; underlying source classifications retained</x:v>
      </x:c>
    </x:row>
    <x:row r="191" ht="112" customHeight="1">
      <x:c r="A191" s="15" t="str">
        <x:v>C21</x:v>
      </x:c>
      <x:c r="B191" s="15" t="str">
        <x:v>Blue Sky Resumes</x:v>
      </x:c>
      <x:c r="C191" s="15" t="str">
        <x:v>Quality standards and commitment</x:v>
      </x:c>
      <x:c r="D191" s="36" t="n">
        <x:f>Rubric!H$6</x:f>
        <x:v>10</x:v>
      </x:c>
      <x:c r="E191" s="38" t="n">
        <x:f>'Score Inputs'!H26</x:f>
        <x:v>8</x:v>
      </x:c>
      <x:c r="F191" s="34" t="n">
        <x:f>D191*E191/Rubric!$B$8</x:f>
        <x:v>8</x:v>
      </x:c>
      <x:c r="G191" s="15" t="str">
        <x:v>Detailed writing approach and customer descriptions support a strong process judgment; complete before-and-after documents were not visually assessed.</x:v>
      </x:c>
      <x:c r="H191" s="15" t="str">
        <x:v>S112</x:v>
      </x:c>
      <x:c r="I191" s="15" t="str">
        <x:v>https://www.blueskyresumes.com/about-us/are-we-a-good-fit/</x:v>
      </x:c>
      <x:c r="J191" s="15" t="str">
        <x:v>INFERRED editorial judgment; underlying source classifications retained</x:v>
      </x:c>
    </x:row>
    <x:row r="192" ht="112" customHeight="1">
      <x:c r="A192" s="15" t="str">
        <x:v>C21</x:v>
      </x:c>
      <x:c r="B192" s="15" t="str">
        <x:v>Blue Sky Resumes</x:v>
      </x:c>
      <x:c r="C192" s="15" t="str">
        <x:v>Serious complaints and resolution</x:v>
      </x:c>
      <x:c r="D192" s="36" t="n">
        <x:f>Rubric!I$6</x:f>
        <x:v>10</x:v>
      </x:c>
      <x:c r="E192" s="38" t="n">
        <x:f>'Score Inputs'!I26</x:f>
        <x:v>8</x:v>
      </x:c>
      <x:c r="F192" s="34" t="n">
        <x:f>D192*E192/Rubric!$B$8</x:f>
        <x:v>8</x:v>
      </x:c>
      <x:c r="G192" s="15" t="str">
        <x:v>An explicit customer-contact structure and service-fit approach support care; historical policy language is not assumed to be a current universal refund right.</x:v>
      </x:c>
      <x:c r="H192" s="15" t="str">
        <x:v>S095 S096</x:v>
      </x:c>
      <x:c r="I192" s="15" t="str">
        <x:v>https://www.blueskyresumes.com/our-services/
https://www.blueskyresumes.com/our-team/</x:v>
      </x:c>
      <x:c r="J192" s="15" t="str">
        <x:v>INFERRED editorial judgment; underlying source classifications retained</x:v>
      </x:c>
    </x:row>
    <x:row r="193" ht="112" customHeight="1">
      <x:c r="A193" s="15" t="str">
        <x:v>C21</x:v>
      </x:c>
      <x:c r="B193" s="15" t="str">
        <x:v>Blue Sky Resumes</x:v>
      </x:c>
      <x:c r="C193" s="15" t="str">
        <x:v>History and stability</x:v>
      </x:c>
      <x:c r="D193" s="36" t="n">
        <x:f>Rubric!J$6</x:f>
        <x:v>5</x:v>
      </x:c>
      <x:c r="E193" s="38" t="n">
        <x:f>'Score Inputs'!J26</x:f>
        <x:v>9</x:v>
      </x:c>
      <x:c r="F193" s="34" t="n">
        <x:f>D193*E193/Rubric!$B$8</x:f>
        <x:v>4.5</x:v>
      </x:c>
      <x:c r="G193" s="15" t="str">
        <x:v>Long-serving staff continued through the ownership transition, providing stronger continuity than a simple change-of-owner penalty would suggest.</x:v>
      </x:c>
      <x:c r="H193" s="15" t="str">
        <x:v>S111 S096</x:v>
      </x:c>
      <x:c r="I193" s="15" t="str">
        <x:v>https://www.blueskyresumes.com/about-us/
https://www.blueskyresumes.com/our-team/</x:v>
      </x:c>
      <x:c r="J193" s="15" t="str">
        <x:v>INFERRED editorial judgment; underlying source classifications retained</x:v>
      </x:c>
    </x:row>
    <x:row r="194" ht="112" customHeight="1">
      <x:c r="A194" s="15" t="str">
        <x:v>C21</x:v>
      </x:c>
      <x:c r="B194" s="15" t="str">
        <x:v>Blue Sky Resumes</x:v>
      </x:c>
      <x:c r="C194" s="15" t="str">
        <x:v>Independently supported professional reputation</x:v>
      </x:c>
      <x:c r="D194" s="36" t="n">
        <x:f>Rubric!K$6</x:f>
        <x:v>5</x:v>
      </x:c>
      <x:c r="E194" s="38" t="n">
        <x:f>'Score Inputs'!K26</x:f>
        <x:v>7.5</x:v>
      </x:c>
      <x:c r="F194" s="34" t="n">
        <x:f>D194*E194/Rubric!$B$8</x:f>
        <x:v>3.75</x:v>
      </x:c>
      <x:c r="G194" s="15" t="str">
        <x:v>Published writing experience and a longstanding specialist identity support professional standing; current award claims are not independently established.</x:v>
      </x:c>
      <x:c r="H194" s="15" t="str">
        <x:v>S096</x:v>
      </x:c>
      <x:c r="I194" s="15" t="str">
        <x:v>https://www.blueskyresumes.com/our-team/</x:v>
      </x:c>
      <x:c r="J194" s="15" t="str">
        <x:v>INFERRED editorial judgment; underlying source classifications retained</x:v>
      </x:c>
    </x:row>
    <x:row r="195" ht="112" customHeight="1">
      <x:c r="A195" s="15" t="str">
        <x:v>C22</x:v>
      </x:c>
      <x:c r="B195" s="15" t="str">
        <x:v>Briefcase Coach</x:v>
      </x:c>
      <x:c r="C195" s="15" t="str">
        <x:v>Credible customer feedback</x:v>
      </x:c>
      <x:c r="D195" s="36" t="n">
        <x:f>Rubric!C$6</x:f>
        <x:v>20</x:v>
      </x:c>
      <x:c r="E195" s="38" t="n">
        <x:f>'Score Inputs'!C27</x:f>
        <x:v>8</x:v>
      </x:c>
      <x:c r="F195" s="34" t="n">
        <x:f>D195*E195/Rubric!$B$8</x:f>
        <x:v>16</x:v>
      </x:c>
      <x:c r="G195" s="15" t="str">
        <x:v>Specific executive client accounts support satisfaction, while they remain selected rather than a randomized customer sample.</x:v>
      </x:c>
      <x:c r="H195" s="15" t="str">
        <x:v>S110</x:v>
      </x:c>
      <x:c r="I195" s="15" t="str">
        <x:v>https://www.briefcasecoach.com/client-success-stories/</x:v>
      </x:c>
      <x:c r="J195" s="15" t="str">
        <x:v>INFERRED editorial judgment; underlying source classifications retained</x:v>
      </x:c>
    </x:row>
    <x:row r="196" ht="112" customHeight="1">
      <x:c r="A196" s="15" t="str">
        <x:v>C22</x:v>
      </x:c>
      <x:c r="B196" s="15" t="str">
        <x:v>Briefcase Coach</x:v>
      </x:c>
      <x:c r="C196" s="15" t="str">
        <x:v>Documented results and track record</x:v>
      </x:c>
      <x:c r="D196" s="36" t="n">
        <x:f>Rubric!D$6</x:f>
        <x:v>15</x:v>
      </x:c>
      <x:c r="E196" s="38" t="n">
        <x:f>'Score Inputs'!D27</x:f>
        <x:v>7.5</x:v>
      </x:c>
      <x:c r="F196" s="34" t="n">
        <x:f>D196*E196/Rubric!$B$8</x:f>
        <x:v>11.25</x:v>
      </x:c>
      <x:c r="G196" s="15" t="str">
        <x:v>A concrete application/interview account and return/referral themes support benefit; company referral percentages are not audited outcomes.</x:v>
      </x:c>
      <x:c r="H196" s="15" t="str">
        <x:v>S110 S109</x:v>
      </x:c>
      <x:c r="I196" s="15" t="str">
        <x:v>https://www.briefcasecoach.com/client-success-stories/
https://www.briefcasecoach.com/about/</x:v>
      </x:c>
      <x:c r="J196" s="15" t="str">
        <x:v>INFERRED editorial judgment; underlying source classifications retained</x:v>
      </x:c>
    </x:row>
    <x:row r="197" ht="112" customHeight="1">
      <x:c r="A197" s="15" t="str">
        <x:v>C22</x:v>
      </x:c>
      <x:c r="B197" s="15" t="str">
        <x:v>Briefcase Coach</x:v>
      </x:c>
      <x:c r="C197" s="15" t="str">
        <x:v>Pricing, value and transparency</x:v>
      </x:c>
      <x:c r="D197" s="36" t="n">
        <x:f>Rubric!E$6</x:f>
        <x:v>15</x:v>
      </x:c>
      <x:c r="E197" s="38" t="n">
        <x:f>'Score Inputs'!E27</x:f>
        <x:v>7.5</x:v>
      </x:c>
      <x:c r="F197" s="34" t="n">
        <x:f>D197*E197/Rubric!$B$8</x:f>
        <x:v>11.25</x:v>
      </x:c>
      <x:c r="G197" s="15" t="str">
        <x:v>Extensive discovery and research support the premium scope, but entry cost is high and a review session is not a full rewrite.</x:v>
      </x:c>
      <x:c r="H197" s="15" t="str">
        <x:v>S097</x:v>
      </x:c>
      <x:c r="I197" s="15" t="str">
        <x:v>https://www.briefcasecoach.com/schedule-consultation/</x:v>
      </x:c>
      <x:c r="J197" s="15" t="str">
        <x:v>INFERRED editorial judgment; underlying source classifications retained</x:v>
      </x:c>
    </x:row>
    <x:row r="198" ht="112" customHeight="1">
      <x:c r="A198" s="15" t="str">
        <x:v>C22</x:v>
      </x:c>
      <x:c r="B198" s="15" t="str">
        <x:v>Briefcase Coach</x:v>
      </x:c>
      <x:c r="C198" s="15" t="str">
        <x:v>Service depth and personalization</x:v>
      </x:c>
      <x:c r="D198" s="36" t="n">
        <x:f>Rubric!F$6</x:f>
        <x:v>10</x:v>
      </x:c>
      <x:c r="E198" s="38" t="n">
        <x:f>'Score Inputs'!F27</x:f>
        <x:v>9</x:v>
      </x:c>
      <x:c r="F198" s="34" t="n">
        <x:f>D198*E198/Rubric!$B$8</x:f>
        <x:v>9</x:v>
      </x:c>
      <x:c r="G198" s="15" t="str">
        <x:v>Lengthy discovery and executive research create deep customization; supporting writers mean founder involvement is not exclusive founder authorship.</x:v>
      </x:c>
      <x:c r="H198" s="15" t="str">
        <x:v>S098 S109</x:v>
      </x:c>
      <x:c r="I198" s="15" t="str">
        <x:v>https://www.briefcasecoach.com/executive-resumes/
https://www.briefcasecoach.com/about/</x:v>
      </x:c>
      <x:c r="J198" s="15" t="str">
        <x:v>INFERRED editorial judgment; underlying source classifications retained</x:v>
      </x:c>
    </x:row>
    <x:row r="199" ht="112" customHeight="1">
      <x:c r="A199" s="15" t="str">
        <x:v>C22</x:v>
      </x:c>
      <x:c r="B199" s="15" t="str">
        <x:v>Briefcase Coach</x:v>
      </x:c>
      <x:c r="C199" s="15" t="str">
        <x:v>Writer qualifications and credentials</x:v>
      </x:c>
      <x:c r="D199" s="36" t="n">
        <x:f>Rubric!G$6</x:f>
        <x:v>10</x:v>
      </x:c>
      <x:c r="E199" s="38" t="n">
        <x:f>'Score Inputs'!G27</x:f>
        <x:v>8</x:v>
      </x:c>
      <x:c r="F199" s="34" t="n">
        <x:f>D199*E199/Rubric!$B$8</x:f>
        <x:v>8</x:v>
      </x:c>
      <x:c r="G199" s="15" t="str">
        <x:v>Relevant recruiting background and an experienced described team support strong preparation, without assuming universal issuer-certified assignments.</x:v>
      </x:c>
      <x:c r="H199" s="15" t="str">
        <x:v>S109</x:v>
      </x:c>
      <x:c r="I199" s="15" t="str">
        <x:v>https://www.briefcasecoach.com/about/</x:v>
      </x:c>
      <x:c r="J199" s="15" t="str">
        <x:v>INFERRED editorial judgment; underlying source classifications retained</x:v>
      </x:c>
    </x:row>
    <x:row r="200" ht="112" customHeight="1">
      <x:c r="A200" s="15" t="str">
        <x:v>C22</x:v>
      </x:c>
      <x:c r="B200" s="15" t="str">
        <x:v>Briefcase Coach</x:v>
      </x:c>
      <x:c r="C200" s="15" t="str">
        <x:v>Quality standards and commitment</x:v>
      </x:c>
      <x:c r="D200" s="36" t="n">
        <x:f>Rubric!H$6</x:f>
        <x:v>10</x:v>
      </x:c>
      <x:c r="E200" s="38" t="n">
        <x:f>'Score Inputs'!H27</x:f>
        <x:v>8</x:v>
      </x:c>
      <x:c r="F200" s="34" t="n">
        <x:f>D200*E200/Rubric!$B$8</x:f>
        <x:v>8</x:v>
      </x:c>
      <x:c r="G200" s="15" t="str">
        <x:v>Research, interviewing and specific customer descriptions support strong process quality; fictionalized samples do not prove actual customer outcomes.</x:v>
      </x:c>
      <x:c r="H200" s="15" t="str">
        <x:v>S110 S098</x:v>
      </x:c>
      <x:c r="I200" s="15" t="str">
        <x:v>https://www.briefcasecoach.com/client-success-stories/
https://www.briefcasecoach.com/executive-resumes/</x:v>
      </x:c>
      <x:c r="J200" s="15" t="str">
        <x:v>INFERRED editorial judgment; underlying source classifications retained</x:v>
      </x:c>
    </x:row>
    <x:row r="201" ht="112" customHeight="1">
      <x:c r="A201" s="15" t="str">
        <x:v>C22</x:v>
      </x:c>
      <x:c r="B201" s="15" t="str">
        <x:v>Briefcase Coach</x:v>
      </x:c>
      <x:c r="C201" s="15" t="str">
        <x:v>Serious complaints and resolution</x:v>
      </x:c>
      <x:c r="D201" s="36" t="n">
        <x:f>Rubric!I$6</x:f>
        <x:v>10</x:v>
      </x:c>
      <x:c r="E201" s="38" t="n">
        <x:f>'Score Inputs'!I27</x:f>
        <x:v>8</x:v>
      </x:c>
      <x:c r="F201" s="34" t="n">
        <x:f>D201*E201/Rubric!$B$8</x:f>
        <x:v>8</x:v>
      </x:c>
      <x:c r="G201" s="15" t="str">
        <x:v>The service explains satisfaction support and client access, without promising a guaranteed job; specific cash-remedy history is limited.</x:v>
      </x:c>
      <x:c r="H201" s="15" t="str">
        <x:v>S109</x:v>
      </x:c>
      <x:c r="I201" s="15" t="str">
        <x:v>https://www.briefcasecoach.com/about/</x:v>
      </x:c>
      <x:c r="J201" s="15" t="str">
        <x:v>INFERRED editorial judgment; underlying source classifications retained</x:v>
      </x:c>
    </x:row>
    <x:row r="202" ht="112" customHeight="1">
      <x:c r="A202" s="15" t="str">
        <x:v>C22</x:v>
      </x:c>
      <x:c r="B202" s="15" t="str">
        <x:v>Briefcase Coach</x:v>
      </x:c>
      <x:c r="C202" s="15" t="str">
        <x:v>History and stability</x:v>
      </x:c>
      <x:c r="D202" s="36" t="n">
        <x:f>Rubric!J$6</x:f>
        <x:v>5</x:v>
      </x:c>
      <x:c r="E202" s="38" t="n">
        <x:f>'Score Inputs'!J27</x:f>
        <x:v>7.5</x:v>
      </x:c>
      <x:c r="F202" s="34" t="n">
        <x:f>D202*E202/Rubric!$B$8</x:f>
        <x:v>3.75</x:v>
      </x:c>
      <x:c r="G202" s="15" t="str">
        <x:v>An established executive practice and repeat-client pattern support continuity, with less long-term operating history than the oldest firms.</x:v>
      </x:c>
      <x:c r="H202" s="15" t="str">
        <x:v>S109</x:v>
      </x:c>
      <x:c r="I202" s="15" t="str">
        <x:v>https://www.briefcasecoach.com/about/</x:v>
      </x:c>
      <x:c r="J202" s="15" t="str">
        <x:v>INFERRED editorial judgment; underlying source classifications retained</x:v>
      </x:c>
    </x:row>
    <x:row r="203" ht="112" customHeight="1">
      <x:c r="A203" s="15" t="str">
        <x:v>C22</x:v>
      </x:c>
      <x:c r="B203" s="15" t="str">
        <x:v>Briefcase Coach</x:v>
      </x:c>
      <x:c r="C203" s="15" t="str">
        <x:v>Independently supported professional reputation</x:v>
      </x:c>
      <x:c r="D203" s="36" t="n">
        <x:f>Rubric!K$6</x:f>
        <x:v>5</x:v>
      </x:c>
      <x:c r="E203" s="38" t="n">
        <x:f>'Score Inputs'!K27</x:f>
        <x:v>8</x:v>
      </x:c>
      <x:c r="F203" s="34" t="n">
        <x:f>D203*E203/Rubric!$B$8</x:f>
        <x:v>4</x:v>
      </x:c>
      <x:c r="G203" s="15" t="str">
        <x:v>Recruiting and educational professional visibility support standing; the company’s own review of itself is not independent recognition.</x:v>
      </x:c>
      <x:c r="H203" s="15" t="str">
        <x:v>S109</x:v>
      </x:c>
      <x:c r="I203" s="15" t="str">
        <x:v>https://www.briefcasecoach.com/about/</x:v>
      </x:c>
      <x:c r="J203" s="15" t="str">
        <x:v>INFERRED editorial judgment; underlying source classifications retained</x:v>
      </x:c>
    </x:row>
    <x:row r="204" ht="112" customHeight="1">
      <x:c r="A204" s="15" t="str">
        <x:v>C23</x:v>
      </x:c>
      <x:c r="B204" s="15" t="str">
        <x:v>Klaxos</x:v>
      </x:c>
      <x:c r="C204" s="15" t="str">
        <x:v>Credible customer feedback</x:v>
      </x:c>
      <x:c r="D204" s="36" t="n">
        <x:f>Rubric!C$6</x:f>
        <x:v>20</x:v>
      </x:c>
      <x:c r="E204" s="38" t="n">
        <x:f>'Score Inputs'!C28</x:f>
        <x:v>8</x:v>
      </x:c>
      <x:c r="F204" s="34" t="n">
        <x:f>D204*E204/Rubric!$B$8</x:f>
        <x:v>16</x:v>
      </x:c>
      <x:c r="G204" s="15" t="str">
        <x:v>Detailed source-associated customer accounts support responsiveness and executive positioning; the independent sample is limited.</x:v>
      </x:c>
      <x:c r="H204" s="15" t="str">
        <x:v>S099</x:v>
      </x:c>
      <x:c r="I204" s="15" t="str">
        <x:v>https://klaxos.com/services/professional-resume-linkedin-writing/</x:v>
      </x:c>
      <x:c r="J204" s="15" t="str">
        <x:v>INFERRED editorial judgment; underlying source classifications retained</x:v>
      </x:c>
    </x:row>
    <x:row r="205" ht="112" customHeight="1">
      <x:c r="A205" s="15" t="str">
        <x:v>C23</x:v>
      </x:c>
      <x:c r="B205" s="15" t="str">
        <x:v>Klaxos</x:v>
      </x:c>
      <x:c r="C205" s="15" t="str">
        <x:v>Documented results and track record</x:v>
      </x:c>
      <x:c r="D205" s="36" t="n">
        <x:f>Rubric!D$6</x:f>
        <x:v>15</x:v>
      </x:c>
      <x:c r="E205" s="38" t="n">
        <x:f>'Score Inputs'!D28</x:f>
        <x:v>7</x:v>
      </x:c>
      <x:c r="F205" s="34" t="n">
        <x:f>D205*E205/Rubric!$B$8</x:f>
        <x:v>10.5</x:v>
      </x:c>
      <x:c r="G205" s="15" t="str">
        <x:v>Selected interview and repeat-use accounts support benefit, without validating an aggregate hiring rate.</x:v>
      </x:c>
      <x:c r="H205" s="15" t="str">
        <x:v>S099</x:v>
      </x:c>
      <x:c r="I205" s="15" t="str">
        <x:v>https://klaxos.com/services/professional-resume-linkedin-writing/</x:v>
      </x:c>
      <x:c r="J205" s="15" t="str">
        <x:v>INFERRED editorial judgment; underlying source classifications retained</x:v>
      </x:c>
    </x:row>
    <x:row r="206" ht="112" customHeight="1">
      <x:c r="A206" s="15" t="str">
        <x:v>C23</x:v>
      </x:c>
      <x:c r="B206" s="15" t="str">
        <x:v>Klaxos</x:v>
      </x:c>
      <x:c r="C206" s="15" t="str">
        <x:v>Pricing, value and transparency</x:v>
      </x:c>
      <x:c r="D206" s="36" t="n">
        <x:f>Rubric!E$6</x:f>
        <x:v>15</x:v>
      </x:c>
      <x:c r="E206" s="38" t="n">
        <x:f>'Score Inputs'!E28</x:f>
        <x:v>7.5</x:v>
      </x:c>
      <x:c r="F206" s="34" t="n">
        <x:f>D206*E206/Rubric!$B$8</x:f>
        <x:v>11.25</x:v>
      </x:c>
      <x:c r="G206" s="15" t="str">
        <x:v>The founder-led package has substantial scope; published price differences are reported as a range, not assumed misconduct or a disqualifying sale.</x:v>
      </x:c>
      <x:c r="H206" s="15" t="str">
        <x:v>S099</x:v>
      </x:c>
      <x:c r="I206" s="15" t="str">
        <x:v>https://klaxos.com/services/professional-resume-linkedin-writing/</x:v>
      </x:c>
      <x:c r="J206" s="15" t="str">
        <x:v>INFERRED editorial judgment; underlying source classifications retained</x:v>
      </x:c>
    </x:row>
    <x:row r="207" ht="112" customHeight="1">
      <x:c r="A207" s="15" t="str">
        <x:v>C23</x:v>
      </x:c>
      <x:c r="B207" s="15" t="str">
        <x:v>Klaxos</x:v>
      </x:c>
      <x:c r="C207" s="15" t="str">
        <x:v>Service depth and personalization</x:v>
      </x:c>
      <x:c r="D207" s="36" t="n">
        <x:f>Rubric!F$6</x:f>
        <x:v>10</x:v>
      </x:c>
      <x:c r="E207" s="38" t="n">
        <x:f>'Score Inputs'!F28</x:f>
        <x:v>9</x:v>
      </x:c>
      <x:c r="F207" s="34" t="n">
        <x:f>D207*E207/Rubric!$B$8</x:f>
        <x:v>9</x:v>
      </x:c>
      <x:c r="G207" s="15" t="str">
        <x:v>The explicit promise of founder consultation and writing creates unusually clear personal accountability.</x:v>
      </x:c>
      <x:c r="H207" s="15" t="str">
        <x:v>S099</x:v>
      </x:c>
      <x:c r="I207" s="15" t="str">
        <x:v>https://klaxos.com/services/professional-resume-linkedin-writing/</x:v>
      </x:c>
      <x:c r="J207" s="15" t="str">
        <x:v>INFERRED editorial judgment; underlying source classifications retained</x:v>
      </x:c>
    </x:row>
    <x:row r="208" ht="112" customHeight="1">
      <x:c r="A208" s="15" t="str">
        <x:v>C23</x:v>
      </x:c>
      <x:c r="B208" s="15" t="str">
        <x:v>Klaxos</x:v>
      </x:c>
      <x:c r="C208" s="15" t="str">
        <x:v>Writer qualifications and credentials</x:v>
      </x:c>
      <x:c r="D208" s="36" t="n">
        <x:f>Rubric!G$6</x:f>
        <x:v>10</x:v>
      </x:c>
      <x:c r="E208" s="38" t="n">
        <x:f>'Score Inputs'!G28</x:f>
        <x:v>7.5</x:v>
      </x:c>
      <x:c r="F208" s="34" t="n">
        <x:f>D208*E208/Rubric!$B$8</x:f>
        <x:v>7.5</x:v>
      </x:c>
      <x:c r="G208" s="15" t="str">
        <x:v>Relevant founder qualifications are described, but not every advertised credential has current issuer confirmation.</x:v>
      </x:c>
      <x:c r="H208" s="15" t="str">
        <x:v>S099</x:v>
      </x:c>
      <x:c r="I208" s="15" t="str">
        <x:v>https://klaxos.com/services/professional-resume-linkedin-writing/</x:v>
      </x:c>
      <x:c r="J208" s="15" t="str">
        <x:v>INFERRED editorial judgment; underlying source classifications retained</x:v>
      </x:c>
    </x:row>
    <x:row r="209" ht="112" customHeight="1">
      <x:c r="A209" s="15" t="str">
        <x:v>C23</x:v>
      </x:c>
      <x:c r="B209" s="15" t="str">
        <x:v>Klaxos</x:v>
      </x:c>
      <x:c r="C209" s="15" t="str">
        <x:v>Quality standards and commitment</x:v>
      </x:c>
      <x:c r="D209" s="36" t="n">
        <x:f>Rubric!H$6</x:f>
        <x:v>10</x:v>
      </x:c>
      <x:c r="E209" s="38" t="n">
        <x:f>'Score Inputs'!H28</x:f>
        <x:v>7.5</x:v>
      </x:c>
      <x:c r="F209" s="34" t="n">
        <x:f>D209*E209/Rubric!$B$8</x:f>
        <x:v>7.5</x:v>
      </x:c>
      <x:c r="G209" s="15" t="str">
        <x:v>The process and detailed customer descriptions support a strong working approach; no complete visual document review was completed.</x:v>
      </x:c>
      <x:c r="H209" s="15" t="str">
        <x:v>S099</x:v>
      </x:c>
      <x:c r="I209" s="15" t="str">
        <x:v>https://klaxos.com/services/professional-resume-linkedin-writing/</x:v>
      </x:c>
      <x:c r="J209" s="15" t="str">
        <x:v>INFERRED editorial judgment; underlying source classifications retained</x:v>
      </x:c>
    </x:row>
    <x:row r="210" ht="112" customHeight="1">
      <x:c r="A210" s="15" t="str">
        <x:v>C23</x:v>
      </x:c>
      <x:c r="B210" s="15" t="str">
        <x:v>Klaxos</x:v>
      </x:c>
      <x:c r="C210" s="15" t="str">
        <x:v>Serious complaints and resolution</x:v>
      </x:c>
      <x:c r="D210" s="36" t="n">
        <x:f>Rubric!I$6</x:f>
        <x:v>10</x:v>
      </x:c>
      <x:c r="E210" s="38" t="n">
        <x:f>'Score Inputs'!I28</x:f>
        <x:v>6.5</x:v>
      </x:c>
      <x:c r="F210" s="34" t="n">
        <x:f>D210*E210/Rubric!$B$8</x:f>
        <x:v>6.5</x:v>
      </x:c>
      <x:c r="G210" s="15" t="str">
        <x:v>A toolkit-subscription complaint and a conflicting no-complaints statement create a material commercial-handling concern, not proof of poor résumé drafting.</x:v>
      </x:c>
      <x:c r="H210" s="15" t="str">
        <x:v>S100 S101</x:v>
      </x:c>
      <x:c r="I210" s="15" t="str">
        <x:v>https://klaxos.com/faq/
https://www.bbb.org/us/dc/washington/profile/resume-services/klaxos-0241-235999426/complaints</x:v>
      </x:c>
      <x:c r="J210" s="15" t="str">
        <x:v>INFERRED editorial judgment; underlying source classifications retained</x:v>
      </x:c>
    </x:row>
    <x:row r="211" ht="112" customHeight="1">
      <x:c r="A211" s="15" t="str">
        <x:v>C23</x:v>
      </x:c>
      <x:c r="B211" s="15" t="str">
        <x:v>Klaxos</x:v>
      </x:c>
      <x:c r="C211" s="15" t="str">
        <x:v>History and stability</x:v>
      </x:c>
      <x:c r="D211" s="36" t="n">
        <x:f>Rubric!J$6</x:f>
        <x:v>5</x:v>
      </x:c>
      <x:c r="E211" s="38" t="n">
        <x:f>'Score Inputs'!J28</x:f>
        <x:v>8</x:v>
      </x:c>
      <x:c r="F211" s="34" t="n">
        <x:f>D211*E211/Rubric!$B$8</x:f>
        <x:v>4</x:v>
      </x:c>
      <x:c r="G211" s="15" t="str">
        <x:v>The operating practice and multi-year public record support established continuity.</x:v>
      </x:c>
      <x:c r="H211" s="15" t="str">
        <x:v>S099 S101</x:v>
      </x:c>
      <x:c r="I211" s="15" t="str">
        <x:v>https://klaxos.com/services/professional-resume-linkedin-writing/
https://www.bbb.org/us/dc/washington/profile/resume-services/klaxos-0241-235999426/complaints</x:v>
      </x:c>
      <x:c r="J211" s="15" t="str">
        <x:v>INFERRED editorial judgment; underlying source classifications retained</x:v>
      </x:c>
    </x:row>
    <x:row r="212" ht="112" customHeight="1">
      <x:c r="A212" s="15" t="str">
        <x:v>C23</x:v>
      </x:c>
      <x:c r="B212" s="15" t="str">
        <x:v>Klaxos</x:v>
      </x:c>
      <x:c r="C212" s="15" t="str">
        <x:v>Independently supported professional reputation</x:v>
      </x:c>
      <x:c r="D212" s="36" t="n">
        <x:f>Rubric!K$6</x:f>
        <x:v>5</x:v>
      </x:c>
      <x:c r="E212" s="38" t="n">
        <x:f>'Score Inputs'!K28</x:f>
        <x:v>7</x:v>
      </x:c>
      <x:c r="F212" s="34" t="n">
        <x:f>D212*E212/Rubric!$B$8</x:f>
        <x:v>3.5</x:v>
      </x:c>
      <x:c r="G212" s="15" t="str">
        <x:v>Professional visibility is credible; strong independent award/contribution evidence remains more limited than for the highest-rated specialists.</x:v>
      </x:c>
      <x:c r="H212" s="15" t="str">
        <x:v>S099</x:v>
      </x:c>
      <x:c r="I212" s="15" t="str">
        <x:v>https://klaxos.com/services/professional-resume-linkedin-writing/</x:v>
      </x:c>
      <x:c r="J212" s="15" t="str">
        <x:v>INFERRED editorial judgment; underlying source classifications retained</x:v>
      </x:c>
    </x:row>
    <x:row r="213" ht="112" customHeight="1">
      <x:c r="A213" s="15" t="str">
        <x:v>C24</x:v>
      </x:c>
      <x:c r="B213" s="15" t="str">
        <x:v>Scientech Resumes / Scientech Career Systems</x:v>
      </x:c>
      <x:c r="C213" s="15" t="str">
        <x:v>Credible customer feedback</x:v>
      </x:c>
      <x:c r="D213" s="36" t="n">
        <x:f>Rubric!C$6</x:f>
        <x:v>20</x:v>
      </x:c>
      <x:c r="E213" s="38" t="n">
        <x:f>'Score Inputs'!C29</x:f>
        <x:v>7.5</x:v>
      </x:c>
      <x:c r="F213" s="34" t="n">
        <x:f>D213*E213/Rubric!$B$8</x:f>
        <x:v>15</x:v>
      </x:c>
      <x:c r="G213" s="15" t="str">
        <x:v>A named clinical-development client recommendation describes valuable positioning; a separate workshop review is not counted as a résumé engagement.</x:v>
      </x:c>
      <x:c r="H213" s="15" t="str">
        <x:v>S114</x:v>
      </x:c>
      <x:c r="I213" s="15" t="str">
        <x:v>https://www.linkedin.com/in/kateewilliamson</x:v>
      </x:c>
      <x:c r="J213" s="15" t="str">
        <x:v>INFERRED editorial judgment; underlying source classifications retained</x:v>
      </x:c>
    </x:row>
    <x:row r="214" ht="112" customHeight="1">
      <x:c r="A214" s="15" t="str">
        <x:v>C24</x:v>
      </x:c>
      <x:c r="B214" s="15" t="str">
        <x:v>Scientech Resumes / Scientech Career Systems</x:v>
      </x:c>
      <x:c r="C214" s="15" t="str">
        <x:v>Documented results and track record</x:v>
      </x:c>
      <x:c r="D214" s="36" t="n">
        <x:f>Rubric!D$6</x:f>
        <x:v>15</x:v>
      </x:c>
      <x:c r="E214" s="38" t="n">
        <x:f>'Score Inputs'!D29</x:f>
        <x:v>7.5</x:v>
      </x:c>
      <x:c r="F214" s="34" t="n">
        <x:f>D214*E214/Rubric!$B$8</x:f>
        <x:v>11.25</x:v>
      </x:c>
      <x:c r="G214" s="15" t="str">
        <x:v>One attributable client describes concurrent offers; the small case set supports benefit but not a high success-rate claim.</x:v>
      </x:c>
      <x:c r="H214" s="15" t="str">
        <x:v>S114</x:v>
      </x:c>
      <x:c r="I214" s="15" t="str">
        <x:v>https://www.linkedin.com/in/kateewilliamson</x:v>
      </x:c>
      <x:c r="J214" s="15" t="str">
        <x:v>INFERRED editorial judgment; underlying source classifications retained</x:v>
      </x:c>
    </x:row>
    <x:row r="215" ht="112" customHeight="1">
      <x:c r="A215" s="15" t="str">
        <x:v>C24</x:v>
      </x:c>
      <x:c r="B215" s="15" t="str">
        <x:v>Scientech Resumes / Scientech Career Systems</x:v>
      </x:c>
      <x:c r="C215" s="15" t="str">
        <x:v>Pricing, value and transparency</x:v>
      </x:c>
      <x:c r="D215" s="36" t="n">
        <x:f>Rubric!E$6</x:f>
        <x:v>15</x:v>
      </x:c>
      <x:c r="E215" s="38" t="n">
        <x:f>'Score Inputs'!E29</x:f>
        <x:v>7</x:v>
      </x:c>
      <x:c r="F215" s="34" t="n">
        <x:f>D215*E215/Rubric!$B$8</x:f>
        <x:v>10.5</x:v>
      </x:c>
      <x:c r="G215" s="15" t="str">
        <x:v>A substantial, scoped technical engagement and ongoing access support the service proposition; no unpublished base price is estimated.</x:v>
      </x:c>
      <x:c r="H215" s="15" t="str">
        <x:v>S102 S113</x:v>
      </x:c>
      <x:c r="I215" s="15" t="str">
        <x:v>https://scientechresumes.com/scientech-writing-process/
https://scientechresumes.com/new-clients/</x:v>
      </x:c>
      <x:c r="J215" s="15" t="str">
        <x:v>INFERRED editorial judgment; underlying source classifications retained</x:v>
      </x:c>
    </x:row>
    <x:row r="216" ht="112" customHeight="1">
      <x:c r="A216" s="15" t="str">
        <x:v>C24</x:v>
      </x:c>
      <x:c r="B216" s="15" t="str">
        <x:v>Scientech Resumes / Scientech Career Systems</x:v>
      </x:c>
      <x:c r="C216" s="15" t="str">
        <x:v>Service depth and personalization</x:v>
      </x:c>
      <x:c r="D216" s="36" t="n">
        <x:f>Rubric!F$6</x:f>
        <x:v>10</x:v>
      </x:c>
      <x:c r="E216" s="38" t="n">
        <x:f>'Score Inputs'!F29</x:f>
        <x:v>9</x:v>
      </x:c>
      <x:c r="F216" s="34" t="n">
        <x:f>D216*E216/Rubric!$B$8</x:f>
        <x:v>9</x:v>
      </x:c>
      <x:c r="G216" s="15" t="str">
        <x:v>Individual technical discovery, narrative development and follow-up strategy support deep personalization.</x:v>
      </x:c>
      <x:c r="H216" s="15" t="str">
        <x:v>S102 S113</x:v>
      </x:c>
      <x:c r="I216" s="15" t="str">
        <x:v>https://scientechresumes.com/scientech-writing-process/
https://scientechresumes.com/new-clients/</x:v>
      </x:c>
      <x:c r="J216" s="15" t="str">
        <x:v>INFERRED editorial judgment; underlying source classifications retained</x:v>
      </x:c>
    </x:row>
    <x:row r="217" ht="112" customHeight="1">
      <x:c r="A217" s="15" t="str">
        <x:v>C24</x:v>
      </x:c>
      <x:c r="B217" s="15" t="str">
        <x:v>Scientech Resumes / Scientech Career Systems</x:v>
      </x:c>
      <x:c r="C217" s="15" t="str">
        <x:v>Writer qualifications and credentials</x:v>
      </x:c>
      <x:c r="D217" s="36" t="n">
        <x:f>Rubric!G$6</x:f>
        <x:v>10</x:v>
      </x:c>
      <x:c r="E217" s="38" t="n">
        <x:f>'Score Inputs'!G29</x:f>
        <x:v>8</x:v>
      </x:c>
      <x:c r="F217" s="34" t="n">
        <x:f>D217*E217/Rubric!$B$8</x:f>
        <x:v>8</x:v>
      </x:c>
      <x:c r="G217" s="15" t="str">
        <x:v>Relevant scientific/technical background and named delivery support competence; association membership is not mislabeled as NCRW certification.</x:v>
      </x:c>
      <x:c r="H217" s="15" t="str">
        <x:v>S104 S113</x:v>
      </x:c>
      <x:c r="I217" s="15" t="str">
        <x:v>https://thenrwa.org/widget/Sys/PublicProfile/39361944/4674619
https://scientechresumes.com/new-clients/</x:v>
      </x:c>
      <x:c r="J217" s="15" t="str">
        <x:v>INFERRED editorial judgment; underlying source classifications retained</x:v>
      </x:c>
    </x:row>
    <x:row r="218" ht="112" customHeight="1">
      <x:c r="A218" s="15" t="str">
        <x:v>C24</x:v>
      </x:c>
      <x:c r="B218" s="15" t="str">
        <x:v>Scientech Resumes / Scientech Career Systems</x:v>
      </x:c>
      <x:c r="C218" s="15" t="str">
        <x:v>Quality standards and commitment</x:v>
      </x:c>
      <x:c r="D218" s="36" t="n">
        <x:f>Rubric!H$6</x:f>
        <x:v>10</x:v>
      </x:c>
      <x:c r="E218" s="38" t="n">
        <x:f>'Score Inputs'!H29</x:f>
        <x:v>8</x:v>
      </x:c>
      <x:c r="F218" s="34" t="n">
        <x:f>D218*E218/Rubric!$B$8</x:f>
        <x:v>8</x:v>
      </x:c>
      <x:c r="G218" s="15" t="str">
        <x:v>Detailed revision and finalization steps plus specific client observations support strong process quality; no complete résumé was visually assessed.</x:v>
      </x:c>
      <x:c r="H218" s="15" t="str">
        <x:v>S102 S114</x:v>
      </x:c>
      <x:c r="I218" s="15" t="str">
        <x:v>https://scientechresumes.com/scientech-writing-process/
https://www.linkedin.com/in/kateewilliamson</x:v>
      </x:c>
      <x:c r="J218" s="15" t="str">
        <x:v>INFERRED editorial judgment; underlying source classifications retained</x:v>
      </x:c>
    </x:row>
    <x:row r="219" ht="112" customHeight="1">
      <x:c r="A219" s="15" t="str">
        <x:v>C24</x:v>
      </x:c>
      <x:c r="B219" s="15" t="str">
        <x:v>Scientech Resumes / Scientech Career Systems</x:v>
      </x:c>
      <x:c r="C219" s="15" t="str">
        <x:v>Serious complaints and resolution</x:v>
      </x:c>
      <x:c r="D219" s="36" t="n">
        <x:f>Rubric!I$6</x:f>
        <x:v>10</x:v>
      </x:c>
      <x:c r="E219" s="38" t="n">
        <x:f>'Score Inputs'!I29</x:f>
        <x:v>8</x:v>
      </x:c>
      <x:c r="F219" s="34" t="n">
        <x:f>D219*E219/Rubric!$B$8</x:f>
        <x:v>8</x:v>
      </x:c>
      <x:c r="G219" s="15" t="str">
        <x:v>Published lifetime email access and check-ins support commitment; this does not establish a measured complaint-resolution rate.</x:v>
      </x:c>
      <x:c r="H219" s="15" t="str">
        <x:v>S113</x:v>
      </x:c>
      <x:c r="I219" s="15" t="str">
        <x:v>https://scientechresumes.com/new-clients/</x:v>
      </x:c>
      <x:c r="J219" s="15" t="str">
        <x:v>INFERRED editorial judgment; underlying source classifications retained</x:v>
      </x:c>
    </x:row>
    <x:row r="220" ht="112" customHeight="1">
      <x:c r="A220" s="15" t="str">
        <x:v>C24</x:v>
      </x:c>
      <x:c r="B220" s="15" t="str">
        <x:v>Scientech Resumes / Scientech Career Systems</x:v>
      </x:c>
      <x:c r="C220" s="15" t="str">
        <x:v>History and stability</x:v>
      </x:c>
      <x:c r="D220" s="36" t="n">
        <x:f>Rubric!J$6</x:f>
        <x:v>5</x:v>
      </x:c>
      <x:c r="E220" s="38" t="n">
        <x:f>'Score Inputs'!J29</x:f>
        <x:v>7.5</x:v>
      </x:c>
      <x:c r="F220" s="34" t="n">
        <x:f>D220*E220/Rubric!$B$8</x:f>
        <x:v>3.75</x:v>
      </x:c>
      <x:c r="G220" s="15" t="str">
        <x:v>A continuing specialized practice supports stability; it is not claimed to have the longest market tenure.</x:v>
      </x:c>
      <x:c r="H220" s="15" t="str">
        <x:v>S102 S104</x:v>
      </x:c>
      <x:c r="I220" s="15" t="str">
        <x:v>https://scientechresumes.com/scientech-writing-process/
https://thenrwa.org/widget/Sys/PublicProfile/39361944/4674619</x:v>
      </x:c>
      <x:c r="J220" s="15" t="str">
        <x:v>INFERRED editorial judgment; underlying source classifications retained</x:v>
      </x:c>
    </x:row>
    <x:row r="221" ht="112" customHeight="1">
      <x:c r="A221" s="15" t="str">
        <x:v>C24</x:v>
      </x:c>
      <x:c r="B221" s="15" t="str">
        <x:v>Scientech Resumes / Scientech Career Systems</x:v>
      </x:c>
      <x:c r="C221" s="15" t="str">
        <x:v>Independently supported professional reputation</x:v>
      </x:c>
      <x:c r="D221" s="36" t="n">
        <x:f>Rubric!K$6</x:f>
        <x:v>5</x:v>
      </x:c>
      <x:c r="E221" s="38" t="n">
        <x:f>'Score Inputs'!K29</x:f>
        <x:v>7.5</x:v>
      </x:c>
      <x:c r="F221" s="34" t="n">
        <x:f>D221*E221/Rubric!$B$8</x:f>
        <x:v>3.75</x:v>
      </x:c>
      <x:c r="G221" s="15" t="str">
        <x:v>Professional-association participation and technical-career contribution support standing, without an invented industry award.</x:v>
      </x:c>
      <x:c r="H221" s="15" t="str">
        <x:v>S104 S113</x:v>
      </x:c>
      <x:c r="I221" s="15" t="str">
        <x:v>https://thenrwa.org/widget/Sys/PublicProfile/39361944/4674619
https://scientechresumes.com/new-clients/</x:v>
      </x:c>
      <x:c r="J221" s="15" t="str">
        <x:v>INFERRED editorial judgment; underlying source classifications retained</x:v>
      </x:c>
    </x:row>
    <x:row r="222" ht="112" customHeight="1">
      <x:c r="A222" s="15" t="str">
        <x:v>C25</x:v>
      </x:c>
      <x:c r="B222" s="15" t="str">
        <x:v>Employment BOOST</x:v>
      </x:c>
      <x:c r="C222" s="15" t="str">
        <x:v>Credible customer feedback</x:v>
      </x:c>
      <x:c r="D222" s="36" t="n">
        <x:f>Rubric!C$6</x:f>
        <x:v>20</x:v>
      </x:c>
      <x:c r="E222" s="38" t="n">
        <x:f>'Score Inputs'!C30</x:f>
        <x:v>8.5</x:v>
      </x:c>
      <x:c r="F222" s="34" t="n">
        <x:f>D222*E222/Rubric!$B$8</x:f>
        <x:v>17</x:v>
      </x:c>
      <x:c r="G222" s="15" t="str">
        <x:v>Eight recent named SHRM-directory accounts corroborate attentive support; broader outplacement reviews are not all standalone résumé orders.</x:v>
      </x:c>
      <x:c r="H222" s="15" t="str">
        <x:v>S115</x:v>
      </x:c>
      <x:c r="I222" s="15" t="str">
        <x:v>https://vendordirectory.shrm.org/company/818721/reviews</x:v>
      </x:c>
      <x:c r="J222" s="15" t="str">
        <x:v>INFERRED editorial judgment; underlying source classifications retained</x:v>
      </x:c>
    </x:row>
    <x:row r="223" ht="112" customHeight="1">
      <x:c r="A223" s="15" t="str">
        <x:v>C25</x:v>
      </x:c>
      <x:c r="B223" s="15" t="str">
        <x:v>Employment BOOST</x:v>
      </x:c>
      <x:c r="C223" s="15" t="str">
        <x:v>Documented results and track record</x:v>
      </x:c>
      <x:c r="D223" s="36" t="n">
        <x:f>Rubric!D$6</x:f>
        <x:v>15</x:v>
      </x:c>
      <x:c r="E223" s="38" t="n">
        <x:f>'Score Inputs'!D30</x:f>
        <x:v>7.5</x:v>
      </x:c>
      <x:c r="F223" s="34" t="n">
        <x:f>D223*E223/Rubric!$B$8</x:f>
        <x:v>11.25</x:v>
      </x:c>
      <x:c r="G223" s="15" t="str">
        <x:v>Specific interviews and jobs are reported, but coaching and employer-sponsored outplacement often contributed to those outcomes.</x:v>
      </x:c>
      <x:c r="H223" s="15" t="str">
        <x:v>S115</x:v>
      </x:c>
      <x:c r="I223" s="15" t="str">
        <x:v>https://vendordirectory.shrm.org/company/818721/reviews</x:v>
      </x:c>
      <x:c r="J223" s="15" t="str">
        <x:v>INFERRED editorial judgment; underlying source classifications retained</x:v>
      </x:c>
    </x:row>
    <x:row r="224" ht="112" customHeight="1">
      <x:c r="A224" s="15" t="str">
        <x:v>C25</x:v>
      </x:c>
      <x:c r="B224" s="15" t="str">
        <x:v>Employment BOOST</x:v>
      </x:c>
      <x:c r="C224" s="15" t="str">
        <x:v>Pricing, value and transparency</x:v>
      </x:c>
      <x:c r="D224" s="36" t="n">
        <x:f>Rubric!E$6</x:f>
        <x:v>15</x:v>
      </x:c>
      <x:c r="E224" s="38" t="n">
        <x:f>'Score Inputs'!E30</x:f>
        <x:v>8</x:v>
      </x:c>
      <x:c r="F224" s="34" t="n">
        <x:f>D224*E224/Rubric!$B$8</x:f>
        <x:v>12</x:v>
      </x:c>
      <x:c r="G224" s="15" t="str">
        <x:v>The published executive package combines consultation, résumé and letter at a competitive team-service price.</x:v>
      </x:c>
      <x:c r="H224" s="15" t="str">
        <x:v>S105</x:v>
      </x:c>
      <x:c r="I224" s="15" t="str">
        <x:v>https://employmentboost.com/product/executive-resume-writing-package/</x:v>
      </x:c>
      <x:c r="J224" s="15" t="str">
        <x:v>INFERRED editorial judgment; underlying source classifications retained</x:v>
      </x:c>
    </x:row>
    <x:row r="225" ht="112" customHeight="1">
      <x:c r="A225" s="15" t="str">
        <x:v>C25</x:v>
      </x:c>
      <x:c r="B225" s="15" t="str">
        <x:v>Employment BOOST</x:v>
      </x:c>
      <x:c r="C225" s="15" t="str">
        <x:v>Service depth and personalization</x:v>
      </x:c>
      <x:c r="D225" s="36" t="n">
        <x:f>Rubric!F$6</x:f>
        <x:v>10</x:v>
      </x:c>
      <x:c r="E225" s="38" t="n">
        <x:f>'Score Inputs'!F30</x:f>
        <x:v>8.5</x:v>
      </x:c>
      <x:c r="F225" s="34" t="n">
        <x:f>D225*E225/Rubric!$B$8</x:f>
        <x:v>8.5</x:v>
      </x:c>
      <x:c r="G225" s="15" t="str">
        <x:v>An hour-long intake, revisions and coordinated career support provide substantial customization.</x:v>
      </x:c>
      <x:c r="H225" s="15" t="str">
        <x:v>S105</x:v>
      </x:c>
      <x:c r="I225" s="15" t="str">
        <x:v>https://employmentboost.com/product/executive-resume-writing-package/</x:v>
      </x:c>
      <x:c r="J225" s="15" t="str">
        <x:v>INFERRED editorial judgment; underlying source classifications retained</x:v>
      </x:c>
    </x:row>
    <x:row r="226" ht="112" customHeight="1">
      <x:c r="A226" s="15" t="str">
        <x:v>C25</x:v>
      </x:c>
      <x:c r="B226" s="15" t="str">
        <x:v>Employment BOOST</x:v>
      </x:c>
      <x:c r="C226" s="15" t="str">
        <x:v>Writer qualifications and credentials</x:v>
      </x:c>
      <x:c r="D226" s="36" t="n">
        <x:f>Rubric!G$6</x:f>
        <x:v>10</x:v>
      </x:c>
      <x:c r="E226" s="38" t="n">
        <x:f>'Score Inputs'!G30</x:f>
        <x:v>8</x:v>
      </x:c>
      <x:c r="F226" s="34" t="n">
        <x:f>D226*E226/Rubric!$B$8</x:f>
        <x:v>8</x:v>
      </x:c>
      <x:c r="G226" s="15" t="str">
        <x:v>The company describes degree-qualified, CPRW-trained in-house writers and recruiter review; this is not an audit of every assigned writer.</x:v>
      </x:c>
      <x:c r="H226" s="15" t="str">
        <x:v>S105 S106</x:v>
      </x:c>
      <x:c r="I226" s="15" t="str">
        <x:v>https://employmentboost.com/product/executive-resume-writing-package/
https://employmentboost.com/resume-services/</x:v>
      </x:c>
      <x:c r="J226" s="15" t="str">
        <x:v>INFERRED editorial judgment; underlying source classifications retained</x:v>
      </x:c>
    </x:row>
    <x:row r="227" ht="112" customHeight="1">
      <x:c r="A227" s="15" t="str">
        <x:v>C25</x:v>
      </x:c>
      <x:c r="B227" s="15" t="str">
        <x:v>Employment BOOST</x:v>
      </x:c>
      <x:c r="C227" s="15" t="str">
        <x:v>Quality standards and commitment</x:v>
      </x:c>
      <x:c r="D227" s="36" t="n">
        <x:f>Rubric!H$6</x:f>
        <x:v>10</x:v>
      </x:c>
      <x:c r="E227" s="38" t="n">
        <x:f>'Score Inputs'!H30</x:f>
        <x:v>8</x:v>
      </x:c>
      <x:c r="F227" s="34" t="n">
        <x:f>D227*E227/Rubric!$B$8</x:f>
        <x:v>8</x:v>
      </x:c>
      <x:c r="G227" s="15" t="str">
        <x:v>Concrete customer descriptions of targeting and editorial work corroborate the process; no full portfolio was visually assessed.</x:v>
      </x:c>
      <x:c r="H227" s="15" t="str">
        <x:v>S105 S115</x:v>
      </x:c>
      <x:c r="I227" s="15" t="str">
        <x:v>https://employmentboost.com/product/executive-resume-writing-package/
https://vendordirectory.shrm.org/company/818721/reviews</x:v>
      </x:c>
      <x:c r="J227" s="15" t="str">
        <x:v>INFERRED editorial judgment; underlying source classifications retained</x:v>
      </x:c>
    </x:row>
    <x:row r="228" ht="112" customHeight="1">
      <x:c r="A228" s="15" t="str">
        <x:v>C25</x:v>
      </x:c>
      <x:c r="B228" s="15" t="str">
        <x:v>Employment BOOST</x:v>
      </x:c>
      <x:c r="C228" s="15" t="str">
        <x:v>Serious complaints and resolution</x:v>
      </x:c>
      <x:c r="D228" s="36" t="n">
        <x:f>Rubric!I$6</x:f>
        <x:v>10</x:v>
      </x:c>
      <x:c r="E228" s="38" t="n">
        <x:f>'Score Inputs'!I30</x:f>
        <x:v>8</x:v>
      </x:c>
      <x:c r="F228" s="34" t="n">
        <x:f>D228*E228/Rubric!$B$8</x:f>
        <x:v>8</x:v>
      </x:c>
      <x:c r="G228" s="15" t="str">
        <x:v>Recent named accounts support responsiveness and ongoing care; private disputes and cash remedies are not inferred from a platform rating.</x:v>
      </x:c>
      <x:c r="H228" s="15" t="str">
        <x:v>S115 S105</x:v>
      </x:c>
      <x:c r="I228" s="15" t="str">
        <x:v>https://vendordirectory.shrm.org/company/818721/reviews
https://employmentboost.com/product/executive-resume-writing-package/</x:v>
      </x:c>
      <x:c r="J228" s="15" t="str">
        <x:v>INFERRED editorial judgment; underlying source classifications retained</x:v>
      </x:c>
    </x:row>
    <x:row r="229" ht="112" customHeight="1">
      <x:c r="A229" s="15" t="str">
        <x:v>C25</x:v>
      </x:c>
      <x:c r="B229" s="15" t="str">
        <x:v>Employment BOOST</x:v>
      </x:c>
      <x:c r="C229" s="15" t="str">
        <x:v>History and stability</x:v>
      </x:c>
      <x:c r="D229" s="36" t="n">
        <x:f>Rubric!J$6</x:f>
        <x:v>5</x:v>
      </x:c>
      <x:c r="E229" s="38" t="n">
        <x:f>'Score Inputs'!J30</x:f>
        <x:v>8</x:v>
      </x:c>
      <x:c r="F229" s="34" t="n">
        <x:f>D229*E229/Rubric!$B$8</x:f>
        <x:v>4</x:v>
      </x:c>
      <x:c r="G229" s="15" t="str">
        <x:v>The established operating service, external business record and multi-year customer evidence support continuity.</x:v>
      </x:c>
      <x:c r="H229" s="15" t="str">
        <x:v>S107 S115</x:v>
      </x:c>
      <x:c r="I229" s="15" t="str">
        <x:v>https://www.bbb.org/us/mi/troy/profile/resume-services/employment-boost-resume-writers-0372-90037896/customer-reviews
https://vendordirectory.shrm.org/company/818721/reviews</x:v>
      </x:c>
      <x:c r="J229" s="15" t="str">
        <x:v>INFERRED editorial judgment; underlying source classifications retained</x:v>
      </x:c>
    </x:row>
    <x:row r="230" ht="112" customHeight="1">
      <x:c r="A230" s="15" t="str">
        <x:v>C25</x:v>
      </x:c>
      <x:c r="B230" s="15" t="str">
        <x:v>Employment BOOST</x:v>
      </x:c>
      <x:c r="C230" s="15" t="str">
        <x:v>Independently supported professional reputation</x:v>
      </x:c>
      <x:c r="D230" s="36" t="n">
        <x:f>Rubric!K$6</x:f>
        <x:v>5</x:v>
      </x:c>
      <x:c r="E230" s="38" t="n">
        <x:f>'Score Inputs'!K30</x:f>
        <x:v>7.5</x:v>
      </x:c>
      <x:c r="F230" s="34" t="n">
        <x:f>D230*E230/Rubric!$B$8</x:f>
        <x:v>3.75</x:v>
      </x:c>
      <x:c r="G230" s="15" t="str">
        <x:v>An external HR vendor-directory presence and recruiting connections support professional standing; directory inclusion is not SHRM endorsement.</x:v>
      </x:c>
      <x:c r="H230" s="15" t="str">
        <x:v>S115 S106</x:v>
      </x:c>
      <x:c r="I230" s="15" t="str">
        <x:v>https://vendordirectory.shrm.org/company/818721/reviews
https://employmentboost.com/resume-services/</x:v>
      </x:c>
      <x:c r="J230" s="15" t="str">
        <x:v>INFERRED editorial judgment; underlying source classifications retained</x:v>
      </x:c>
    </x:row>
  </x:sheetData>
  <x:mergeCells>
    <x:mergeCell ref="A1:J1"/>
    <x:mergeCell ref="A2:J3"/>
  </x:mergeCells>
  <x:pageMargins left="0.7" right="0.7" top="0.75" bottom="0.75" header="0.3" footer="0.3"/>
  <x:tableParts count="1">
    <x:tablePart xmlns:r="http://schemas.openxmlformats.org/officeDocument/2006/relationships" r:id="Rd0f4e850beed4b23"/>
  </x:tableParts>
</x:worksheet>
</file>

<file path=xl/worksheets/sheet6.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9" hidden="0" customWidth="1"/>
    <x:col min="2" max="2" width="40" hidden="0" customWidth="1"/>
    <x:col min="3" max="3" width="34" hidden="0" customWidth="1"/>
    <x:col min="4" max="4" width="48" hidden="0" customWidth="1"/>
    <x:col min="5" max="5" width="14" hidden="0" customWidth="1"/>
    <x:col min="6" max="6" width="35" hidden="0" customWidth="1"/>
    <x:col min="7" max="7" width="68" hidden="0" customWidth="1"/>
  </x:cols>
  <x:sheetData>
    <x:row r="1" ht="32" customHeight="1">
      <x:c r="A1" s="3" t="str">
        <x:v>SOURCE REGISTER | 123 RECORDS</x:v>
      </x:c>
      <x:c r="B1" s="3"/>
      <x:c r="C1" s="3"/>
      <x:c r="D1" s="3"/>
      <x:c r="E1" s="3"/>
      <x:c r="F1" s="3"/>
      <x:c r="G1" s="3"/>
    </x:row>
    <x:row r="2" ht="24" customHeight="1">
      <x:c r="A2" s="8" t="str">
        <x:v>Original October 25 observations retain their dates. Refreshed and additional October 26 records are identified. A source-associated testimonial is not an independently authenticated population.</x:v>
      </x:c>
      <x:c r="B2" s="8"/>
      <x:c r="C2" s="8"/>
      <x:c r="D2" s="8"/>
      <x:c r="E2" s="8"/>
      <x:c r="F2" s="8"/>
      <x:c r="G2" s="8"/>
    </x:row>
    <x:row r="3" ht="24" customHeight="1">
      <x:c r="A3" s="8"/>
      <x:c r="B3" s="8"/>
      <x:c r="C3" s="8"/>
      <x:c r="D3" s="8"/>
      <x:c r="E3" s="8"/>
      <x:c r="F3" s="8"/>
      <x:c r="G3" s="8"/>
    </x:row>
    <x:row r="5" ht="34" customHeight="1">
      <x:c r="A5" s="12" t="str">
        <x:v>ID</x:v>
      </x:c>
      <x:c r="B5" s="12" t="str">
        <x:v>Title</x:v>
      </x:c>
      <x:c r="C5" s="12" t="str">
        <x:v>Company / scope</x:v>
      </x:c>
      <x:c r="D5" s="12" t="str">
        <x:v>URL</x:v>
      </x:c>
      <x:c r="E5" s="12" t="str">
        <x:v>Checked</x:v>
      </x:c>
      <x:c r="F5" s="12" t="str">
        <x:v>Provenance</x:v>
      </x:c>
      <x:c r="G5" s="12" t="str">
        <x:v>Evidence note</x:v>
      </x:c>
    </x:row>
    <x:row r="6" ht="100" customHeight="1">
      <x:c r="A6" s="15" t="str">
        <x:v>S001</x:v>
      </x:c>
      <x:c r="B6" s="15" t="str">
        <x:v>Official packages</x:v>
      </x:c>
      <x:c r="C6" s="15" t="str">
        <x:v>Let’s Eat, Grandma</x:v>
      </x:c>
      <x:c r="D6" s="15" t="str">
        <x:v>https://www.legresumes.com/</x:v>
      </x:c>
      <x:c r="E6" s="15" t="str">
        <x:v>2026-10-26</x:v>
      </x:c>
      <x:c r="F6" s="15" t="str">
        <x:v>October 25 evidence, refreshed October 26</x:v>
      </x:c>
      <x:c r="G6" s="15" t="str">
        <x:v>Retrieved in follow-up; source statements classified in company profile; relevant page reopened in final-scoring pass, not paid delivery testing.</x:v>
      </x:c>
    </x:row>
    <x:row r="7" ht="100" customHeight="1">
      <x:c r="A7" s="15" t="str">
        <x:v>S002</x:v>
      </x:c>
      <x:c r="B7" s="15" t="str">
        <x:v>Terms</x:v>
      </x:c>
      <x:c r="C7" s="15" t="str">
        <x:v>Let’s Eat, Grandma</x:v>
      </x:c>
      <x:c r="D7" s="15" t="str">
        <x:v>https://www.legresumes.com/terms/</x:v>
      </x:c>
      <x:c r="E7" s="15" t="str">
        <x:v>2026-10-25</x:v>
      </x:c>
      <x:c r="F7" s="15" t="str">
        <x:v>Retained from October 25 evidence reassessment</x:v>
      </x:c>
      <x:c r="G7" s="15" t="str">
        <x:v>Retrieved in follow-up; source statements classified in company profile</x:v>
      </x:c>
    </x:row>
    <x:row r="8" ht="100" customHeight="1">
      <x:c r="A8" s="15" t="str">
        <x:v>S003</x:v>
      </x:c>
      <x:c r="B8" s="15" t="str">
        <x:v>Independent review profile</x:v>
      </x:c>
      <x:c r="C8" s="15" t="str">
        <x:v>Let’s Eat, Grandma</x:v>
      </x:c>
      <x:c r="D8" s="15" t="str">
        <x:v>https://www.trustpilot.com/review/www.letseatgrandma.com</x:v>
      </x:c>
      <x:c r="E8" s="15" t="str">
        <x:v>2026-10-25</x:v>
      </x:c>
      <x:c r="F8" s="15" t="str">
        <x:v>Retained from October 25 evidence reassessment</x:v>
      </x:c>
      <x:c r="G8" s="15" t="str">
        <x:v>Retrieved in follow-up; source statements classified in company profile</x:v>
      </x:c>
    </x:row>
    <x:row r="9" ht="100" customHeight="1">
      <x:c r="A9" s="15" t="str">
        <x:v>S004</x:v>
      </x:c>
      <x:c r="B9" s="15" t="str">
        <x:v>Google-source review mirror</x:v>
      </x:c>
      <x:c r="C9" s="15" t="str">
        <x:v>Let’s Eat, Grandma</x:v>
      </x:c>
      <x:c r="D9" s="15" t="str">
        <x:v>https://www.trustindex.io/reviews/letseatgrandma.com</x:v>
      </x:c>
      <x:c r="E9" s="15" t="str">
        <x:v>2026-10-25</x:v>
      </x:c>
      <x:c r="F9" s="15" t="str">
        <x:v>Retained from October 25 evidence reassessment</x:v>
      </x:c>
      <x:c r="G9" s="15" t="str">
        <x:v>Retrieved in follow-up; source statements classified in company profile</x:v>
      </x:c>
    </x:row>
    <x:row r="10" ht="100" customHeight="1">
      <x:c r="A10" s="15" t="str">
        <x:v>S005</x:v>
      </x:c>
      <x:c r="B10" s="15" t="str">
        <x:v>Professional offer</x:v>
      </x:c>
      <x:c r="C10" s="15" t="str">
        <x:v>Find My Profession</x:v>
      </x:c>
      <x:c r="D10" s="15" t="str">
        <x:v>https://www.findmyprofession.com/resume-writing/professional/</x:v>
      </x:c>
      <x:c r="E10" s="15" t="str">
        <x:v>2026-10-26</x:v>
      </x:c>
      <x:c r="F10" s="15" t="str">
        <x:v>October 25 offer, refreshed October 26</x:v>
      </x:c>
      <x:c r="G10" s="15" t="str">
        <x:v>Official professional résumé $595; cover letter $100 and LinkedIn $200 advertised bundle add-ons; consultation and seven-day unlimited revisions. Published offer, not a paid test.</x:v>
      </x:c>
    </x:row>
    <x:row r="11" ht="100" customHeight="1">
      <x:c r="A11" s="15" t="str">
        <x:v>S006</x:v>
      </x:c>
      <x:c r="B11" s="15" t="str">
        <x:v>Portfolio</x:v>
      </x:c>
      <x:c r="C11" s="15" t="str">
        <x:v>Find My Profession</x:v>
      </x:c>
      <x:c r="D11" s="15" t="str">
        <x:v>https://www.findmyprofession.com/resume-samples/</x:v>
      </x:c>
      <x:c r="E11" s="15" t="str">
        <x:v>2026-10-25</x:v>
      </x:c>
      <x:c r="F11" s="15" t="str">
        <x:v>Retained from October 25 evidence reassessment</x:v>
      </x:c>
      <x:c r="G11" s="15" t="str">
        <x:v>Retrieved in follow-up; source statements classified in company profile</x:v>
      </x:c>
    </x:row>
    <x:row r="12" ht="100" customHeight="1">
      <x:c r="A12" s="15" t="str">
        <x:v>S007</x:v>
      </x:c>
      <x:c r="B12" s="15" t="str">
        <x:v>Program-manager page 1</x:v>
      </x:c>
      <x:c r="C12" s="15" t="str">
        <x:v>Find My Profession</x:v>
      </x:c>
      <x:c r="D12" s="15" t="str">
        <x:v>https://www.findmyprofession.com/wp-content/uploads/2024/06/Pro-Program-Manager.png</x:v>
      </x:c>
      <x:c r="E12" s="15" t="str">
        <x:v>2026-10-25</x:v>
      </x:c>
      <x:c r="F12" s="15" t="str">
        <x:v>Retained from October 25 evidence reassessment</x:v>
      </x:c>
      <x:c r="G12" s="15" t="str">
        <x:v>Retrieved in follow-up; source statements classified in company profile</x:v>
      </x:c>
    </x:row>
    <x:row r="13" ht="100" customHeight="1">
      <x:c r="A13" s="15" t="str">
        <x:v>S008</x:v>
      </x:c>
      <x:c r="B13" s="15" t="str">
        <x:v>Program-manager page 2</x:v>
      </x:c>
      <x:c r="C13" s="15" t="str">
        <x:v>Find My Profession</x:v>
      </x:c>
      <x:c r="D13" s="15" t="str">
        <x:v>https://www.findmyprofession.com/wp-content/uploads/2024/06/Pro-Program-Manager-2.png</x:v>
      </x:c>
      <x:c r="E13" s="15" t="str">
        <x:v>2026-10-25</x:v>
      </x:c>
      <x:c r="F13" s="15" t="str">
        <x:v>Retained from October 25 evidence reassessment</x:v>
      </x:c>
      <x:c r="G13" s="15" t="str">
        <x:v>Retrieved in follow-up; source statements classified in company profile</x:v>
      </x:c>
    </x:row>
    <x:row r="14" ht="100" customHeight="1">
      <x:c r="A14" s="15" t="str">
        <x:v>S009</x:v>
      </x:c>
      <x:c r="B14" s="15" t="str">
        <x:v>BBB complaints</x:v>
      </x:c>
      <x:c r="C14" s="15" t="str">
        <x:v>Find My Profession</x:v>
      </x:c>
      <x:c r="D14" s="15" t="str">
        <x:v>https://www.bbb.org/us/co/golden/profile/resume-services/find-my-profession-inc-1296-90260468/complaints</x:v>
      </x:c>
      <x:c r="E14" s="15" t="str">
        <x:v>2026-10-25</x:v>
      </x:c>
      <x:c r="F14" s="15" t="str">
        <x:v>Retained from October 25 evidence reassessment</x:v>
      </x:c>
      <x:c r="G14" s="15" t="str">
        <x:v>Retrieved in follow-up; source statements classified in company profile</x:v>
      </x:c>
    </x:row>
    <x:row r="15" ht="100" customHeight="1">
      <x:c r="A15" s="15" t="str">
        <x:v>S010</x:v>
      </x:c>
      <x:c r="B15" s="15" t="str">
        <x:v>Pricing</x:v>
      </x:c>
      <x:c r="C15" s="15" t="str">
        <x:v>TopStack Resume</x:v>
      </x:c>
      <x:c r="D15" s="15" t="str">
        <x:v>https://www.topstackresume.com/pricing</x:v>
      </x:c>
      <x:c r="E15" s="15" t="str">
        <x:v>2026-10-25</x:v>
      </x:c>
      <x:c r="F15" s="15" t="str">
        <x:v>Retained from October 25 evidence reassessment</x:v>
      </x:c>
      <x:c r="G15" s="15" t="str">
        <x:v>Retrieved in follow-up; source statements classified in company profile</x:v>
      </x:c>
    </x:row>
    <x:row r="16" ht="100" customHeight="1">
      <x:c r="A16" s="15" t="str">
        <x:v>S011</x:v>
      </x:c>
      <x:c r="B16" s="15" t="str">
        <x:v>Remedies</x:v>
      </x:c>
      <x:c r="C16" s="15" t="str">
        <x:v>TopStack Resume</x:v>
      </x:c>
      <x:c r="D16" s="15" t="str">
        <x:v>https://www.topstackresume.com/refunds</x:v>
      </x:c>
      <x:c r="E16" s="15" t="str">
        <x:v>2026-10-25</x:v>
      </x:c>
      <x:c r="F16" s="15" t="str">
        <x:v>Retained from October 25 evidence reassessment</x:v>
      </x:c>
      <x:c r="G16" s="15" t="str">
        <x:v>Retrieved in follow-up; source statements classified in company profile</x:v>
      </x:c>
    </x:row>
    <x:row r="17" ht="100" customHeight="1">
      <x:c r="A17" s="15" t="str">
        <x:v>S012</x:v>
      </x:c>
      <x:c r="B17" s="15" t="str">
        <x:v>Hiring requirements</x:v>
      </x:c>
      <x:c r="C17" s="15" t="str">
        <x:v>TopStack Resume</x:v>
      </x:c>
      <x:c r="D17" s="15" t="str">
        <x:v>https://jobs.gusto.com/postings/topstack-resume-resume-writer-part-time-and-full-time-positions-available-6ebb6cac-c3e8-4886-a092-fcef783e62e3</x:v>
      </x:c>
      <x:c r="E17" s="15" t="str">
        <x:v>2026-10-25</x:v>
      </x:c>
      <x:c r="F17" s="15" t="str">
        <x:v>Retained from October 25 evidence reassessment</x:v>
      </x:c>
      <x:c r="G17" s="15" t="str">
        <x:v>Retrieved in follow-up; source statements classified in company profile</x:v>
      </x:c>
    </x:row>
    <x:row r="18" ht="100" customHeight="1">
      <x:c r="A18" s="15" t="str">
        <x:v>S013</x:v>
      </x:c>
      <x:c r="B18" s="15" t="str">
        <x:v>BBB complaints</x:v>
      </x:c>
      <x:c r="C18" s="15" t="str">
        <x:v>TopStack Resume</x:v>
      </x:c>
      <x:c r="D18" s="15" t="str">
        <x:v>https://www.bbb.org/us/nc/chapel-hill/profile/resume-services/topstack-resume-0593-90320403/complaints</x:v>
      </x:c>
      <x:c r="E18" s="15" t="str">
        <x:v>2026-10-25</x:v>
      </x:c>
      <x:c r="F18" s="15" t="str">
        <x:v>Retained from October 25 evidence reassessment</x:v>
      </x:c>
      <x:c r="G18" s="15" t="str">
        <x:v>Retrieved in follow-up; source statements classified in company profile</x:v>
      </x:c>
    </x:row>
    <x:row r="19" ht="100" customHeight="1">
      <x:c r="A19" s="15" t="str">
        <x:v>S014</x:v>
      </x:c>
      <x:c r="B19" s="15" t="str">
        <x:v>Packages</x:v>
      </x:c>
      <x:c r="C19" s="15" t="str">
        <x:v>Resumeble</x:v>
      </x:c>
      <x:c r="D19" s="15" t="str">
        <x:v>https://www.resumeble.com/resume-packages</x:v>
      </x:c>
      <x:c r="E19" s="15" t="str">
        <x:v>2026-10-25</x:v>
      </x:c>
      <x:c r="F19" s="15" t="str">
        <x:v>Retained from October 25 evidence reassessment</x:v>
      </x:c>
      <x:c r="G19" s="15" t="str">
        <x:v>Earlier same-day official record; refresh unsuccessful</x:v>
      </x:c>
    </x:row>
    <x:row r="20" ht="100" customHeight="1">
      <x:c r="A20" s="15" t="str">
        <x:v>S015</x:v>
      </x:c>
      <x:c r="B20" s="15" t="str">
        <x:v>Writer roster</x:v>
      </x:c>
      <x:c r="C20" s="15" t="str">
        <x:v>Resumeble</x:v>
      </x:c>
      <x:c r="D20" s="15" t="str">
        <x:v>https://www.resumeble.com/our-writers</x:v>
      </x:c>
      <x:c r="E20" s="15" t="str">
        <x:v>2026-10-25</x:v>
      </x:c>
      <x:c r="F20" s="15" t="str">
        <x:v>Retained from October 25 evidence reassessment</x:v>
      </x:c>
      <x:c r="G20" s="15" t="str">
        <x:v>Retrieved in follow-up; source statements classified in company profile</x:v>
      </x:c>
    </x:row>
    <x:row r="21" ht="100" customHeight="1">
      <x:c r="A21" s="15" t="str">
        <x:v>S016</x:v>
      </x:c>
      <x:c r="B21" s="15" t="str">
        <x:v>Terms</x:v>
      </x:c>
      <x:c r="C21" s="15" t="str">
        <x:v>Resumeble</x:v>
      </x:c>
      <x:c r="D21" s="15" t="str">
        <x:v>https://www.resumeble.com/terms-condition</x:v>
      </x:c>
      <x:c r="E21" s="15" t="str">
        <x:v>2026-10-25</x:v>
      </x:c>
      <x:c r="F21" s="15" t="str">
        <x:v>Retained from October 25 evidence reassessment</x:v>
      </x:c>
      <x:c r="G21" s="15" t="str">
        <x:v>Retrieved in follow-up; source statements classified in company profile</x:v>
      </x:c>
    </x:row>
    <x:row r="22" ht="100" customHeight="1">
      <x:c r="A22" s="15" t="str">
        <x:v>S017</x:v>
      </x:c>
      <x:c r="B22" s="15" t="str">
        <x:v>Independent reviews</x:v>
      </x:c>
      <x:c r="C22" s="15" t="str">
        <x:v>Resumeble</x:v>
      </x:c>
      <x:c r="D22" s="15" t="str">
        <x:v>https://www.trustpilot.com/review/www.resumeble.com</x:v>
      </x:c>
      <x:c r="E22" s="15" t="str">
        <x:v>2026-10-25</x:v>
      </x:c>
      <x:c r="F22" s="15" t="str">
        <x:v>Retained from October 25 evidence reassessment</x:v>
      </x:c>
      <x:c r="G22" s="15" t="str">
        <x:v>Retrieved in follow-up; source statements classified in company profile</x:v>
      </x:c>
    </x:row>
    <x:row r="23" ht="100" customHeight="1">
      <x:c r="A23" s="15" t="str">
        <x:v>S018</x:v>
      </x:c>
      <x:c r="B23" s="15" t="str">
        <x:v>Accounting page 1</x:v>
      </x:c>
      <x:c r="C23" s="15" t="str">
        <x:v>Resumeble</x:v>
      </x:c>
      <x:c r="D23" s="15" t="str">
        <x:v>https://www.resumeble.com/images/sample-resume/finance.jpg</x:v>
      </x:c>
      <x:c r="E23" s="15" t="str">
        <x:v>2026-10-25</x:v>
      </x:c>
      <x:c r="F23" s="15" t="str">
        <x:v>Retained from October 25 evidence reassessment</x:v>
      </x:c>
      <x:c r="G23" s="15" t="str">
        <x:v>Retrieved in follow-up; source statements classified in company profile</x:v>
      </x:c>
    </x:row>
    <x:row r="24" ht="100" customHeight="1">
      <x:c r="A24" s="15" t="str">
        <x:v>S019</x:v>
      </x:c>
      <x:c r="B24" s="15" t="str">
        <x:v>Accounting page 2</x:v>
      </x:c>
      <x:c r="C24" s="15" t="str">
        <x:v>Resumeble</x:v>
      </x:c>
      <x:c r="D24" s="15" t="str">
        <x:v>https://www.resumeble.com/images/sample-resume/finance-2.png</x:v>
      </x:c>
      <x:c r="E24" s="15" t="str">
        <x:v>2026-10-25</x:v>
      </x:c>
      <x:c r="F24" s="15" t="str">
        <x:v>Retained from October 25 evidence reassessment</x:v>
      </x:c>
      <x:c r="G24" s="15" t="str">
        <x:v>Retrieved in follow-up; source statements classified in company profile</x:v>
      </x:c>
    </x:row>
    <x:row r="25" ht="100" customHeight="1">
      <x:c r="A25" s="15" t="str">
        <x:v>S020</x:v>
      </x:c>
      <x:c r="B25" s="15" t="str">
        <x:v>Prices</x:v>
      </x:c>
      <x:c r="C25" s="15" t="str">
        <x:v>ResumeSpice</x:v>
      </x:c>
      <x:c r="D25" s="15" t="str">
        <x:v>https://resumespice.com/pricing/resumes-cover-letters-interviews-linkedin/</x:v>
      </x:c>
      <x:c r="E25" s="15" t="str">
        <x:v>2026-10-25</x:v>
      </x:c>
      <x:c r="F25" s="15" t="str">
        <x:v>Retained from October 25 evidence reassessment</x:v>
      </x:c>
      <x:c r="G25" s="15" t="str">
        <x:v>Retrieved in follow-up; source statements classified in company profile</x:v>
      </x:c>
    </x:row>
    <x:row r="26" ht="100" customHeight="1">
      <x:c r="A26" s="15" t="str">
        <x:v>S021</x:v>
      </x:c>
      <x:c r="B26" s="15" t="str">
        <x:v>FAQ</x:v>
      </x:c>
      <x:c r="C26" s="15" t="str">
        <x:v>ResumeSpice</x:v>
      </x:c>
      <x:c r="D26" s="15" t="str">
        <x:v>https://resumespice.com/about/frequently-asked-questions-about-resume-writers/</x:v>
      </x:c>
      <x:c r="E26" s="15" t="str">
        <x:v>2026-10-25</x:v>
      </x:c>
      <x:c r="F26" s="15" t="str">
        <x:v>Retained from October 25 evidence reassessment</x:v>
      </x:c>
      <x:c r="G26" s="15" t="str">
        <x:v>Retrieved in follow-up; source statements classified in company profile</x:v>
      </x:c>
    </x:row>
    <x:row r="27" ht="100" customHeight="1">
      <x:c r="A27" s="15" t="str">
        <x:v>S022</x:v>
      </x:c>
      <x:c r="B27" s="15" t="str">
        <x:v>Current terms</x:v>
      </x:c>
      <x:c r="C27" s="15" t="str">
        <x:v>ResumeSpice</x:v>
      </x:c>
      <x:c r="D27" s="15" t="str">
        <x:v>https://resumespice.com/terms-and-conditions/</x:v>
      </x:c>
      <x:c r="E27" s="15" t="str">
        <x:v>2026-10-25</x:v>
      </x:c>
      <x:c r="F27" s="15" t="str">
        <x:v>Retained from October 25 evidence reassessment</x:v>
      </x:c>
      <x:c r="G27" s="15" t="str">
        <x:v>Retrieved in follow-up; source statements classified in company profile</x:v>
      </x:c>
    </x:row>
    <x:row r="28" ht="100" customHeight="1">
      <x:c r="A28" s="15" t="str">
        <x:v>S023</x:v>
      </x:c>
      <x:c r="B28" s="15" t="str">
        <x:v>BBB complaint record</x:v>
      </x:c>
      <x:c r="C28" s="15" t="str">
        <x:v>ResumeSpice</x:v>
      </x:c>
      <x:c r="D28" s="15" t="str">
        <x:v>https://www.bbb.org/us/tx/houston/profile/resume-services/resumespice-0915-90047381/complaints</x:v>
      </x:c>
      <x:c r="E28" s="15" t="str">
        <x:v>2026-10-25</x:v>
      </x:c>
      <x:c r="F28" s="15" t="str">
        <x:v>Retained from October 25 evidence reassessment</x:v>
      </x:c>
      <x:c r="G28" s="15" t="str">
        <x:v>Retrieved in follow-up; source statements classified in company profile</x:v>
      </x:c>
    </x:row>
    <x:row r="29" ht="100" customHeight="1">
      <x:c r="A29" s="15" t="str">
        <x:v>S024</x:v>
      </x:c>
      <x:c r="B29" s="15" t="str">
        <x:v>Customer reviews</x:v>
      </x:c>
      <x:c r="C29" s="15" t="str">
        <x:v>ResumeSpice</x:v>
      </x:c>
      <x:c r="D29" s="15" t="str">
        <x:v>https://www.trustpilot.com/review/resumespice.com</x:v>
      </x:c>
      <x:c r="E29" s="15" t="str">
        <x:v>2026-10-25</x:v>
      </x:c>
      <x:c r="F29" s="15" t="str">
        <x:v>Retained from October 25 evidence reassessment</x:v>
      </x:c>
      <x:c r="G29" s="15" t="str">
        <x:v>Earlier same-day detailed snapshot retained; current sidebar supports approximate rating</x:v>
      </x:c>
    </x:row>
    <x:row r="30" ht="100" customHeight="1">
      <x:c r="A30" s="15" t="str">
        <x:v>S025</x:v>
      </x:c>
      <x:c r="B30" s="15" t="str">
        <x:v>Service ranges</x:v>
      </x:c>
      <x:c r="C30" s="15" t="str">
        <x:v>Great Resumes Fast</x:v>
      </x:c>
      <x:c r="D30" s="15" t="str">
        <x:v>https://greatresumesfast.com/services-executive-resume-writers/</x:v>
      </x:c>
      <x:c r="E30" s="15" t="str">
        <x:v>2026-10-25</x:v>
      </x:c>
      <x:c r="F30" s="15" t="str">
        <x:v>Retained from October 25 evidence reassessment</x:v>
      </x:c>
      <x:c r="G30" s="15" t="str">
        <x:v>Retrieved in follow-up; source statements classified in company profile</x:v>
      </x:c>
    </x:row>
    <x:row r="31" ht="100" customHeight="1">
      <x:c r="A31" s="15" t="str">
        <x:v>S026</x:v>
      </x:c>
      <x:c r="B31" s="15" t="str">
        <x:v>Alternative starting offer</x:v>
      </x:c>
      <x:c r="C31" s="15" t="str">
        <x:v>Great Resumes Fast</x:v>
      </x:c>
      <x:c r="D31" s="15" t="str">
        <x:v>https://greatresumesfast.com/consult/</x:v>
      </x:c>
      <x:c r="E31" s="15" t="str">
        <x:v>2026-10-25</x:v>
      </x:c>
      <x:c r="F31" s="15" t="str">
        <x:v>Retained from October 25 evidence reassessment</x:v>
      </x:c>
      <x:c r="G31" s="15" t="str">
        <x:v>Earlier same-day conflicting starting quote; not refreshed</x:v>
      </x:c>
    </x:row>
    <x:row r="32" ht="100" customHeight="1">
      <x:c r="A32" s="15" t="str">
        <x:v>S027</x:v>
      </x:c>
      <x:c r="B32" s="15" t="str">
        <x:v>Independent reviews</x:v>
      </x:c>
      <x:c r="C32" s="15" t="str">
        <x:v>Great Resumes Fast</x:v>
      </x:c>
      <x:c r="D32" s="15" t="str">
        <x:v>https://www.trustpilot.com/review/greatresumesfast.com</x:v>
      </x:c>
      <x:c r="E32" s="15" t="str">
        <x:v>2026-10-25</x:v>
      </x:c>
      <x:c r="F32" s="15" t="str">
        <x:v>Retained from October 25 evidence reassessment</x:v>
      </x:c>
      <x:c r="G32" s="15" t="str">
        <x:v>Retrieved in follow-up; source statements classified in company profile</x:v>
      </x:c>
    </x:row>
    <x:row r="33" ht="100" customHeight="1">
      <x:c r="A33" s="15" t="str">
        <x:v>S028</x:v>
      </x:c>
      <x:c r="B33" s="15" t="str">
        <x:v>Examined PDF</x:v>
      </x:c>
      <x:c r="C33" s="15" t="str">
        <x:v>Great Resumes Fast</x:v>
      </x:c>
      <x:c r="D33" s="15" t="str">
        <x:v>https://greatresumesfast.com/wp-content/uploads/2026/01/High-Impact-Marketing-Executive-Resume-1.pdf</x:v>
      </x:c>
      <x:c r="E33" s="15" t="str">
        <x:v>2026-10-25</x:v>
      </x:c>
      <x:c r="F33" s="15" t="str">
        <x:v>Retained from October 25 evidence reassessment</x:v>
      </x:c>
      <x:c r="G33" s="15" t="str">
        <x:v>Retrieved in follow-up; source statements classified in company profile</x:v>
      </x:c>
    </x:row>
    <x:row r="34" ht="100" customHeight="1">
      <x:c r="A34" s="15" t="str">
        <x:v>S029</x:v>
      </x:c>
      <x:c r="B34" s="15" t="str">
        <x:v>Writing tiers</x:v>
      </x:c>
      <x:c r="C34" s="15" t="str">
        <x:v>TopResume</x:v>
      </x:c>
      <x:c r="D34" s="15" t="str">
        <x:v>https://topresume.com/resume-writing</x:v>
      </x:c>
      <x:c r="E34" s="15" t="str">
        <x:v>2026-10-25</x:v>
      </x:c>
      <x:c r="F34" s="15" t="str">
        <x:v>Retained from October 25 evidence reassessment</x:v>
      </x:c>
      <x:c r="G34" s="15" t="str">
        <x:v>Retrieved in follow-up; source statements classified in company profile</x:v>
      </x:c>
    </x:row>
    <x:row r="35" ht="100" customHeight="1">
      <x:c r="A35" s="15" t="str">
        <x:v>S030</x:v>
      </x:c>
      <x:c r="B35" s="15" t="str">
        <x:v>FAQ and recurring charge</x:v>
      </x:c>
      <x:c r="C35" s="15" t="str">
        <x:v>TopResume</x:v>
      </x:c>
      <x:c r="D35" s="15" t="str">
        <x:v>https://topresume.com/faq</x:v>
      </x:c>
      <x:c r="E35" s="15" t="str">
        <x:v>2026-10-25</x:v>
      </x:c>
      <x:c r="F35" s="15" t="str">
        <x:v>Retained from October 25 evidence reassessment</x:v>
      </x:c>
      <x:c r="G35" s="15" t="str">
        <x:v>Retrieved in follow-up; source statements classified in company profile</x:v>
      </x:c>
    </x:row>
    <x:row r="36" ht="100" customHeight="1">
      <x:c r="A36" s="15" t="str">
        <x:v>S031</x:v>
      </x:c>
      <x:c r="B36" s="15" t="str">
        <x:v>Writer biographies</x:v>
      </x:c>
      <x:c r="C36" s="15" t="str">
        <x:v>TopResume</x:v>
      </x:c>
      <x:c r="D36" s="15" t="str">
        <x:v>https://topresume.com/writers</x:v>
      </x:c>
      <x:c r="E36" s="15" t="str">
        <x:v>2026-10-25</x:v>
      </x:c>
      <x:c r="F36" s="15" t="str">
        <x:v>Retained from October 25 evidence reassessment</x:v>
      </x:c>
      <x:c r="G36" s="15" t="str">
        <x:v>Retrieved in follow-up; source statements classified in company profile</x:v>
      </x:c>
    </x:row>
    <x:row r="37" ht="100" customHeight="1">
      <x:c r="A37" s="15" t="str">
        <x:v>S032</x:v>
      </x:c>
      <x:c r="B37" s="15" t="str">
        <x:v>Independent reviews</x:v>
      </x:c>
      <x:c r="C37" s="15" t="str">
        <x:v>TopResume</x:v>
      </x:c>
      <x:c r="D37" s="15" t="str">
        <x:v>https://www.trustpilot.com/review/topresume.com</x:v>
      </x:c>
      <x:c r="E37" s="15" t="str">
        <x:v>2026-10-25</x:v>
      </x:c>
      <x:c r="F37" s="15" t="str">
        <x:v>Retained from October 25 evidence reassessment</x:v>
      </x:c>
      <x:c r="G37" s="15" t="str">
        <x:v>Retrieved in follow-up; source statements classified in company profile</x:v>
      </x:c>
    </x:row>
    <x:row r="38" ht="100" customHeight="1">
      <x:c r="A38" s="15" t="str">
        <x:v>S033</x:v>
      </x:c>
      <x:c r="B38" s="15" t="str">
        <x:v>BBB parent profile</x:v>
      </x:c>
      <x:c r="C38" s="15" t="str">
        <x:v>TopResume</x:v>
      </x:c>
      <x:c r="D38" s="15" t="str">
        <x:v>https://www.bbb.org/us/ny/new-york/profile/resume-services/talent-worldwide-inc-0121-151339</x:v>
      </x:c>
      <x:c r="E38" s="15" t="str">
        <x:v>2026-10-25</x:v>
      </x:c>
      <x:c r="F38" s="15" t="str">
        <x:v>Retained from October 25 evidence reassessment</x:v>
      </x:c>
      <x:c r="G38" s="15" t="str">
        <x:v>Retrieved in follow-up; source statements classified in company profile</x:v>
      </x:c>
    </x:row>
    <x:row r="39" ht="100" customHeight="1">
      <x:c r="A39" s="15" t="str">
        <x:v>S034</x:v>
      </x:c>
      <x:c r="B39" s="15" t="str">
        <x:v>BBB complaints</x:v>
      </x:c>
      <x:c r="C39" s="15" t="str">
        <x:v>TopResume</x:v>
      </x:c>
      <x:c r="D39" s="15" t="str">
        <x:v>https://www.bbb.org/us/ny/new-york/profile/resume-services/talent-worldwide-inc-0121-151339/complaints</x:v>
      </x:c>
      <x:c r="E39" s="15" t="str">
        <x:v>2026-10-26</x:v>
      </x:c>
      <x:c r="F39" s="15" t="str">
        <x:v>October 25 evidence, refreshed October 26</x:v>
      </x:c>
      <x:c r="G39" s="15" t="str">
        <x:v>Retrieved in follow-up; source statements classified in company profile; relevant page reopened in final-scoring pass, not paid delivery testing.</x:v>
      </x:c>
    </x:row>
    <x:row r="40" ht="100" customHeight="1">
      <x:c r="A40" s="15" t="str">
        <x:v>S035</x:v>
      </x:c>
      <x:c r="B40" s="15" t="str">
        <x:v>Historical study</x:v>
      </x:c>
      <x:c r="C40" s="15" t="str">
        <x:v>TopResume</x:v>
      </x:c>
      <x:c r="D40" s="15" t="str">
        <x:v>https://topresume.com/career-advice/dollars-sense-of-professional-resume</x:v>
      </x:c>
      <x:c r="E40" s="15" t="str">
        <x:v>2026-10-25</x:v>
      </x:c>
      <x:c r="F40" s="15" t="str">
        <x:v>Retained from October 25 evidence reassessment</x:v>
      </x:c>
      <x:c r="G40" s="15" t="str">
        <x:v>Retrieved in follow-up; source statements classified in company profile</x:v>
      </x:c>
    </x:row>
    <x:row r="41" ht="100" customHeight="1">
      <x:c r="A41" s="15" t="str">
        <x:v>S036</x:v>
      </x:c>
      <x:c r="B41" s="15" t="str">
        <x:v>Sample</x:v>
      </x:c>
      <x:c r="C41" s="15" t="str">
        <x:v>TopResume</x:v>
      </x:c>
      <x:c r="D41" s="15" t="str">
        <x:v>https://topresume.com/samples/resumes/mid-career-professional</x:v>
      </x:c>
      <x:c r="E41" s="15" t="str">
        <x:v>2026-10-25</x:v>
      </x:c>
      <x:c r="F41" s="15" t="str">
        <x:v>Retained from October 25 evidence reassessment</x:v>
      </x:c>
      <x:c r="G41" s="15" t="str">
        <x:v>Retrieved in follow-up; source statements classified in company profile</x:v>
      </x:c>
    </x:row>
    <x:row r="42" ht="100" customHeight="1">
      <x:c r="A42" s="15" t="str">
        <x:v>S037</x:v>
      </x:c>
      <x:c r="B42" s="15" t="str">
        <x:v>Federal fees</x:v>
      </x:c>
      <x:c r="C42" s="15" t="str">
        <x:v>The Resume Place</x:v>
      </x:c>
      <x:c r="D42" s="15" t="str">
        <x:v>https://resume-place.com/federal-resumes/federal-resume-fees/</x:v>
      </x:c>
      <x:c r="E42" s="15" t="str">
        <x:v>2026-10-25</x:v>
      </x:c>
      <x:c r="F42" s="15" t="str">
        <x:v>Retained from October 25 evidence reassessment</x:v>
      </x:c>
      <x:c r="G42" s="15" t="str">
        <x:v>Retrieved in follow-up; source statements classified in company profile</x:v>
      </x:c>
    </x:row>
    <x:row r="43" ht="100" customHeight="1">
      <x:c r="A43" s="15" t="str">
        <x:v>S038</x:v>
      </x:c>
      <x:c r="B43" s="15" t="str">
        <x:v>Current gallery</x:v>
      </x:c>
      <x:c r="C43" s="15" t="str">
        <x:v>The Resume Place</x:v>
      </x:c>
      <x:c r="D43" s="15" t="str">
        <x:v>https://resume-place.com/federal-resumes/federal-resume-samples/</x:v>
      </x:c>
      <x:c r="E43" s="15" t="str">
        <x:v>2026-10-25</x:v>
      </x:c>
      <x:c r="F43" s="15" t="str">
        <x:v>Retained from October 25 evidence reassessment</x:v>
      </x:c>
      <x:c r="G43" s="15" t="str">
        <x:v>Retrieved in follow-up; source statements classified in company profile</x:v>
      </x:c>
    </x:row>
    <x:row r="44" ht="100" customHeight="1">
      <x:c r="A44" s="15" t="str">
        <x:v>S039</x:v>
      </x:c>
      <x:c r="B44" s="15" t="str">
        <x:v>University event</x:v>
      </x:c>
      <x:c r="C44" s="15" t="str">
        <x:v>The Resume Place</x:v>
      </x:c>
      <x:c r="D44" s="15" t="str">
        <x:v>https://events.georgetown.edu/pivot-with-purpose/event/38146-writing-the-new-2-page-federal-resume/</x:v>
      </x:c>
      <x:c r="E44" s="15" t="str">
        <x:v>2026-10-25</x:v>
      </x:c>
      <x:c r="F44" s="15" t="str">
        <x:v>Retained from October 25 evidence reassessment</x:v>
      </x:c>
      <x:c r="G44" s="15" t="str">
        <x:v>Earlier cited university event retained; not an endorsement</x:v>
      </x:c>
    </x:row>
    <x:row r="45" ht="100" customHeight="1">
      <x:c r="A45" s="15" t="str">
        <x:v>S040</x:v>
      </x:c>
      <x:c r="B45" s="15" t="str">
        <x:v>Customer account source</x:v>
      </x:c>
      <x:c r="C45" s="15" t="str">
        <x:v>The Resume Place</x:v>
      </x:c>
      <x:c r="D45" s="15" t="str">
        <x:v>https://the-resume-place.pissedconsumer.com/review.html</x:v>
      </x:c>
      <x:c r="E45" s="15" t="str">
        <x:v>2026-10-25</x:v>
      </x:c>
      <x:c r="F45" s="15" t="str">
        <x:v>Retained from October 25 evidence reassessment</x:v>
      </x:c>
      <x:c r="G45" s="15" t="str">
        <x:v>Earlier same-day account review retained; limited recent sample</x:v>
      </x:c>
    </x:row>
    <x:row r="46" ht="100" customHeight="1">
      <x:c r="A46" s="15" t="str">
        <x:v>S041</x:v>
      </x:c>
      <x:c r="B46" s="15" t="str">
        <x:v>Results archive</x:v>
      </x:c>
      <x:c r="C46" s="15" t="str">
        <x:v>Ivy League Résumés</x:v>
      </x:c>
      <x:c r="D46" s="15" t="str">
        <x:v>https://www.ivyleaguecoaching.com/results</x:v>
      </x:c>
      <x:c r="E46" s="15" t="str">
        <x:v>2026-10-26</x:v>
      </x:c>
      <x:c r="F46" s="15" t="str">
        <x:v>October 25 evidence, refreshed October 26</x:v>
      </x:c>
      <x:c r="G46" s="15" t="str">
        <x:v>Retrieved in follow-up; source statements classified in company profile; relevant page reopened in final-scoring pass, not paid delivery testing.</x:v>
      </x:c>
    </x:row>
    <x:row r="47" ht="100" customHeight="1">
      <x:c r="A47" s="15" t="str">
        <x:v>S042</x:v>
      </x:c>
      <x:c r="B47" s="15" t="str">
        <x:v>Portfolio</x:v>
      </x:c>
      <x:c r="C47" s="15" t="str">
        <x:v>Ivy League Résumés</x:v>
      </x:c>
      <x:c r="D47" s="15" t="str">
        <x:v>https://www.ivyleaguecoaching.com/sample-resumes</x:v>
      </x:c>
      <x:c r="E47" s="15" t="str">
        <x:v>2026-10-25</x:v>
      </x:c>
      <x:c r="F47" s="15" t="str">
        <x:v>Retained from October 25 evidence reassessment</x:v>
      </x:c>
      <x:c r="G47" s="15" t="str">
        <x:v>Retrieved in follow-up; source statements classified in company profile</x:v>
      </x:c>
    </x:row>
    <x:row r="48" ht="100" customHeight="1">
      <x:c r="A48" s="15" t="str">
        <x:v>S043</x:v>
      </x:c>
      <x:c r="B48" s="15" t="str">
        <x:v>Examined COO PDF</x:v>
      </x:c>
      <x:c r="C48" s="15" t="str">
        <x:v>Ivy League Résumés</x:v>
      </x:c>
      <x:c r="D48" s="15" t="str">
        <x:v>https://www.ivyleaguecoaching.com/files/resume-samples/private-equity-chief-operating-officer-resume-sample.pdf</x:v>
      </x:c>
      <x:c r="E48" s="15" t="str">
        <x:v>2026-10-25</x:v>
      </x:c>
      <x:c r="F48" s="15" t="str">
        <x:v>Retained from October 25 evidence reassessment</x:v>
      </x:c>
      <x:c r="G48" s="15" t="str">
        <x:v>Retrieved in follow-up; source statements classified in company profile</x:v>
      </x:c>
    </x:row>
    <x:row r="49" ht="100" customHeight="1">
      <x:c r="A49" s="15" t="str">
        <x:v>S044</x:v>
      </x:c>
      <x:c r="B49" s="15" t="str">
        <x:v>NCRW issuer record</x:v>
      </x:c>
      <x:c r="C49" s="15" t="str">
        <x:v>Ivy League Résumés</x:v>
      </x:c>
      <x:c r="D49" s="15" t="str">
        <x:v>https://thenrwa.org/Sys/PublicProfile/30439154</x:v>
      </x:c>
      <x:c r="E49" s="15" t="str">
        <x:v>2026-10-26</x:v>
      </x:c>
      <x:c r="F49" s="15" t="str">
        <x:v>October 25 evidence, refreshed October 26</x:v>
      </x:c>
      <x:c r="G49" s="15" t="str">
        <x:v>Retrieved in follow-up; source statements classified in company profile; relevant page reopened in final-scoring pass, not paid delivery testing.</x:v>
      </x:c>
    </x:row>
    <x:row r="50" ht="100" customHeight="1">
      <x:c r="A50" s="15" t="str">
        <x:v>S045</x:v>
      </x:c>
      <x:c r="B50" s="15" t="str">
        <x:v>Columbia profile</x:v>
      </x:c>
      <x:c r="C50" s="15" t="str">
        <x:v>Ivy League Résumés</x:v>
      </x:c>
      <x:c r="D50" s="15" t="str">
        <x:v>https://careercoaches.alumni.columbia.edu/keith_miller</x:v>
      </x:c>
      <x:c r="E50" s="15" t="str">
        <x:v>2026-10-25</x:v>
      </x:c>
      <x:c r="F50" s="15" t="str">
        <x:v>Retained from October 25 evidence reassessment</x:v>
      </x:c>
      <x:c r="G50" s="15" t="str">
        <x:v>Retrieved in follow-up; source statements classified in company profile</x:v>
      </x:c>
    </x:row>
    <x:row r="51" ht="100" customHeight="1">
      <x:c r="A51" s="15" t="str">
        <x:v>S046</x:v>
      </x:c>
      <x:c r="B51" s="15" t="str">
        <x:v>Earlier catalog prices</x:v>
      </x:c>
      <x:c r="C51" s="15" t="str">
        <x:v>Ivy League Résumés</x:v>
      </x:c>
      <x:c r="D51" s="15" t="str">
        <x:v>https://ivyleagueresume.com/knowledge/records/service-page-services.html</x:v>
      </x:c>
      <x:c r="E51" s="15" t="str">
        <x:v>2026-10-26</x:v>
      </x:c>
      <x:c r="F51" s="15" t="str">
        <x:v>October 25 catalog, refreshed October 26</x:v>
      </x:c>
      <x:c r="G51" s="15" t="str">
        <x:v>Current top-of-page October 16 prices: $499.95/$599.95/$749.95/$895; historical body prices explicitly superseded. Published direct-service scope and conditional 60-day rewrite/formatting remedy retained. No checkout or actual delivery test.</x:v>
      </x:c>
    </x:row>
    <x:row r="52" ht="100" customHeight="1">
      <x:c r="A52" s="15" t="str">
        <x:v>S047</x:v>
      </x:c>
      <x:c r="B52" s="15" t="str">
        <x:v>Bronze scope and terms</x:v>
      </x:c>
      <x:c r="C52" s="15" t="str">
        <x:v>JobStars USA</x:v>
      </x:c>
      <x:c r="D52" s="15" t="str">
        <x:v>https://jobstars.com/product/resume-writing-bronze/</x:v>
      </x:c>
      <x:c r="E52" s="15" t="str">
        <x:v>2026-10-25</x:v>
      </x:c>
      <x:c r="F52" s="15" t="str">
        <x:v>Retained from October 25 evidence reassessment</x:v>
      </x:c>
      <x:c r="G52" s="15" t="str">
        <x:v>Retrieved in follow-up; source statements classified in company profile</x:v>
      </x:c>
    </x:row>
    <x:row r="53" ht="100" customHeight="1">
      <x:c r="A53" s="15" t="str">
        <x:v>S048</x:v>
      </x:c>
      <x:c r="B53" s="15" t="str">
        <x:v>Service tiers</x:v>
      </x:c>
      <x:c r="C53" s="15" t="str">
        <x:v>JobStars USA</x:v>
      </x:c>
      <x:c r="D53" s="15" t="str">
        <x:v>https://jobstars.com/resume-writing/</x:v>
      </x:c>
      <x:c r="E53" s="15" t="str">
        <x:v>2026-10-25</x:v>
      </x:c>
      <x:c r="F53" s="15" t="str">
        <x:v>Retained from October 25 evidence reassessment</x:v>
      </x:c>
      <x:c r="G53" s="15" t="str">
        <x:v>Retrieved in follow-up; source statements classified in company profile</x:v>
      </x:c>
    </x:row>
    <x:row r="54" ht="100" customHeight="1">
      <x:c r="A54" s="15" t="str">
        <x:v>S049</x:v>
      </x:c>
      <x:c r="B54" s="15" t="str">
        <x:v>BBB complaints</x:v>
      </x:c>
      <x:c r="C54" s="15" t="str">
        <x:v>JobStars USA</x:v>
      </x:c>
      <x:c r="D54" s="15" t="str">
        <x:v>https://www.bbb.org/us/il/chicago/profile/career-counseling/jobstars-usa-llc-0654-90008884/complaints</x:v>
      </x:c>
      <x:c r="E54" s="15" t="str">
        <x:v>2026-10-25</x:v>
      </x:c>
      <x:c r="F54" s="15" t="str">
        <x:v>Retained from October 25 evidence reassessment</x:v>
      </x:c>
      <x:c r="G54" s="15" t="str">
        <x:v>Retrieved in follow-up; source statements classified in company profile</x:v>
      </x:c>
    </x:row>
    <x:row r="55" ht="100" customHeight="1">
      <x:c r="A55" s="15" t="str">
        <x:v>S050</x:v>
      </x:c>
      <x:c r="B55" s="15" t="str">
        <x:v>BBB customer reviews</x:v>
      </x:c>
      <x:c r="C55" s="15" t="str">
        <x:v>JobStars USA</x:v>
      </x:c>
      <x:c r="D55" s="15" t="str">
        <x:v>https://www.bbb.org/us/il/chicago/profile/career-counseling/jobstars-usa-llc-0654-90008884/customer-reviews</x:v>
      </x:c>
      <x:c r="E55" s="15" t="str">
        <x:v>2026-10-25</x:v>
      </x:c>
      <x:c r="F55" s="15" t="str">
        <x:v>Retained from October 25 evidence reassessment</x:v>
      </x:c>
      <x:c r="G55" s="15" t="str">
        <x:v>Earlier same-day detailed customer sample retained</x:v>
      </x:c>
    </x:row>
    <x:row r="56" ht="100" customHeight="1">
      <x:c r="A56" s="15" t="str">
        <x:v>S051</x:v>
      </x:c>
      <x:c r="B56" s="15" t="str">
        <x:v>Prices and process</x:v>
      </x:c>
      <x:c r="C56" s="15" t="str">
        <x:v>Resume Professional Writers</x:v>
      </x:c>
      <x:c r="D56" s="15" t="str">
        <x:v>https://www.resumeprofessionalwriters.com/faq/</x:v>
      </x:c>
      <x:c r="E56" s="15" t="str">
        <x:v>2026-10-25</x:v>
      </x:c>
      <x:c r="F56" s="15" t="str">
        <x:v>Retained from October 25 evidence reassessment</x:v>
      </x:c>
      <x:c r="G56" s="15" t="str">
        <x:v>Retrieved in follow-up; source statements classified in company profile</x:v>
      </x:c>
    </x:row>
    <x:row r="57" ht="100" customHeight="1">
      <x:c r="A57" s="15" t="str">
        <x:v>S052</x:v>
      </x:c>
      <x:c r="B57" s="15" t="str">
        <x:v>Refund agreement</x:v>
      </x:c>
      <x:c r="C57" s="15" t="str">
        <x:v>Resume Professional Writers</x:v>
      </x:c>
      <x:c r="D57" s="15" t="str">
        <x:v>https://www.resumeprofessionalwriters.com/project-agreement/</x:v>
      </x:c>
      <x:c r="E57" s="15" t="str">
        <x:v>2026-10-25</x:v>
      </x:c>
      <x:c r="F57" s="15" t="str">
        <x:v>Retained from October 25 evidence reassessment</x:v>
      </x:c>
      <x:c r="G57" s="15" t="str">
        <x:v>Retrieved in follow-up; source statements classified in company profile</x:v>
      </x:c>
    </x:row>
    <x:row r="58" ht="100" customHeight="1">
      <x:c r="A58" s="15" t="str">
        <x:v>S053</x:v>
      </x:c>
      <x:c r="B58" s="15" t="str">
        <x:v>Sample PDF</x:v>
      </x:c>
      <x:c r="C58" s="15" t="str">
        <x:v>Resume Professional Writers</x:v>
      </x:c>
      <x:c r="D58" s="15" t="str">
        <x:v>https://www.resumeprofessionalwriters.com/resume-example/financial-analyst-resume-example.pdf</x:v>
      </x:c>
      <x:c r="E58" s="15" t="str">
        <x:v>2026-10-25</x:v>
      </x:c>
      <x:c r="F58" s="15" t="str">
        <x:v>Retained from October 25 evidence reassessment</x:v>
      </x:c>
      <x:c r="G58" s="15" t="str">
        <x:v>Retrieved in follow-up; source statements classified in company profile</x:v>
      </x:c>
    </x:row>
    <x:row r="59" ht="100" customHeight="1">
      <x:c r="A59" s="15" t="str">
        <x:v>S054</x:v>
      </x:c>
      <x:c r="B59" s="15" t="str">
        <x:v>Independent reviews</x:v>
      </x:c>
      <x:c r="C59" s="15" t="str">
        <x:v>Resume Professional Writers</x:v>
      </x:c>
      <x:c r="D59" s="15" t="str">
        <x:v>https://www.trustpilot.com/review/www.resumeprofessionalwriters.com</x:v>
      </x:c>
      <x:c r="E59" s="15" t="str">
        <x:v>2026-10-25</x:v>
      </x:c>
      <x:c r="F59" s="15" t="str">
        <x:v>Retained from October 25 evidence reassessment</x:v>
      </x:c>
      <x:c r="G59" s="15" t="str">
        <x:v>Earlier same-day detailed review record retained</x:v>
      </x:c>
    </x:row>
    <x:row r="60" ht="100" customHeight="1">
      <x:c r="A60" s="15" t="str">
        <x:v>S055</x:v>
      </x:c>
      <x:c r="B60" s="15" t="str">
        <x:v>Professional offers</x:v>
      </x:c>
      <x:c r="C60" s="15" t="str">
        <x:v>iCareerSolutions</x:v>
      </x:c>
      <x:c r="D60" s="15" t="str">
        <x:v>https://icareersolutions.com/professional-resume-writing-services/</x:v>
      </x:c>
      <x:c r="E60" s="15" t="str">
        <x:v>2026-10-25</x:v>
      </x:c>
      <x:c r="F60" s="15" t="str">
        <x:v>Retained from October 25 evidence reassessment</x:v>
      </x:c>
      <x:c r="G60" s="15" t="str">
        <x:v>Retrieved in follow-up; source statements classified in company profile</x:v>
      </x:c>
    </x:row>
    <x:row r="61" ht="100" customHeight="1">
      <x:c r="A61" s="15" t="str">
        <x:v>S056</x:v>
      </x:c>
      <x:c r="B61" s="15" t="str">
        <x:v>Terms</x:v>
      </x:c>
      <x:c r="C61" s="15" t="str">
        <x:v>iCareerSolutions</x:v>
      </x:c>
      <x:c r="D61" s="15" t="str">
        <x:v>https://icareersolutions.com/terms-and-conditions/</x:v>
      </x:c>
      <x:c r="E61" s="15" t="str">
        <x:v>2026-10-25</x:v>
      </x:c>
      <x:c r="F61" s="15" t="str">
        <x:v>Retained from October 25 evidence reassessment</x:v>
      </x:c>
      <x:c r="G61" s="15" t="str">
        <x:v>Retrieved in follow-up; source statements classified in company profile</x:v>
      </x:c>
    </x:row>
    <x:row r="62" ht="100" customHeight="1">
      <x:c r="A62" s="15" t="str">
        <x:v>S057</x:v>
      </x:c>
      <x:c r="B62" s="15" t="str">
        <x:v>Current BBB profile</x:v>
      </x:c>
      <x:c r="C62" s="15" t="str">
        <x:v>iCareerSolutions</x:v>
      </x:c>
      <x:c r="D62" s="15" t="str">
        <x:v>https://www.bbb.org/us/ny/new-york/profile/career-counseling/icareersolutions-0121-87142363</x:v>
      </x:c>
      <x:c r="E62" s="15" t="str">
        <x:v>2026-10-25</x:v>
      </x:c>
      <x:c r="F62" s="15" t="str">
        <x:v>Retained from October 25 evidence reassessment</x:v>
      </x:c>
      <x:c r="G62" s="15" t="str">
        <x:v>Retrieved in follow-up; source statements classified in company profile</x:v>
      </x:c>
    </x:row>
    <x:row r="63" ht="100" customHeight="1">
      <x:c r="A63" s="15" t="str">
        <x:v>S058</x:v>
      </x:c>
      <x:c r="B63" s="15" t="str">
        <x:v>BBB complaints</x:v>
      </x:c>
      <x:c r="C63" s="15" t="str">
        <x:v>iCareerSolutions</x:v>
      </x:c>
      <x:c r="D63" s="15" t="str">
        <x:v>https://www.bbb.org/us/ny/new-york/profile/career-counseling/icareersolutions-0121-87142363/complaints</x:v>
      </x:c>
      <x:c r="E63" s="15" t="str">
        <x:v>2026-10-25</x:v>
      </x:c>
      <x:c r="F63" s="15" t="str">
        <x:v>Retained from October 25 evidence reassessment</x:v>
      </x:c>
      <x:c r="G63" s="15" t="str">
        <x:v>Retrieved in follow-up; source statements classified in company profile</x:v>
      </x:c>
    </x:row>
    <x:row r="64" ht="100" customHeight="1">
      <x:c r="A64" s="15" t="str">
        <x:v>S059</x:v>
      </x:c>
      <x:c r="B64" s="15" t="str">
        <x:v>Independent reviews</x:v>
      </x:c>
      <x:c r="C64" s="15" t="str">
        <x:v>iCareerSolutions</x:v>
      </x:c>
      <x:c r="D64" s="15" t="str">
        <x:v>https://www.trustpilot.com/review/icareersolutions.com</x:v>
      </x:c>
      <x:c r="E64" s="15" t="str">
        <x:v>2026-10-25</x:v>
      </x:c>
      <x:c r="F64" s="15" t="str">
        <x:v>Retained from October 25 evidence reassessment</x:v>
      </x:c>
      <x:c r="G64" s="15" t="str">
        <x:v>Retrieved in follow-up; source statements classified in company profile</x:v>
      </x:c>
    </x:row>
    <x:row r="65" ht="100" customHeight="1">
      <x:c r="A65" s="15" t="str">
        <x:v>S060</x:v>
      </x:c>
      <x:c r="B65" s="15" t="str">
        <x:v>Company survey and testimonials</x:v>
      </x:c>
      <x:c r="C65" s="15" t="str">
        <x:v>Distinctive Career Services</x:v>
      </x:c>
      <x:c r="D65" s="15" t="str">
        <x:v>https://www.distinctiveweb.com/resume-service-reviews/</x:v>
      </x:c>
      <x:c r="E65" s="15" t="str">
        <x:v>2026-10-25</x:v>
      </x:c>
      <x:c r="F65" s="15" t="str">
        <x:v>Retained from October 25 evidence reassessment</x:v>
      </x:c>
      <x:c r="G65" s="15" t="str">
        <x:v>Retrieved in follow-up; source statements classified in company profile</x:v>
      </x:c>
    </x:row>
    <x:row r="66" ht="100" customHeight="1">
      <x:c r="A66" s="15" t="str">
        <x:v>S061</x:v>
      </x:c>
      <x:c r="B66" s="15" t="str">
        <x:v>CEO portfolio</x:v>
      </x:c>
      <x:c r="C66" s="15" t="str">
        <x:v>Distinctive Career Services</x:v>
      </x:c>
      <x:c r="D66" s="15" t="str">
        <x:v>https://www.distinctiveweb.com/project-examples/c-level-executive-resume-example/</x:v>
      </x:c>
      <x:c r="E66" s="15" t="str">
        <x:v>2026-10-25</x:v>
      </x:c>
      <x:c r="F66" s="15" t="str">
        <x:v>Retained from October 25 evidence reassessment</x:v>
      </x:c>
      <x:c r="G66" s="15" t="str">
        <x:v>Retrieved in follow-up; source statements classified in company profile</x:v>
      </x:c>
    </x:row>
    <x:row r="67" ht="100" customHeight="1">
      <x:c r="A67" s="15" t="str">
        <x:v>S062</x:v>
      </x:c>
      <x:c r="B67" s="15" t="str">
        <x:v>CEO page 1</x:v>
      </x:c>
      <x:c r="C67" s="15" t="str">
        <x:v>Distinctive Career Services</x:v>
      </x:c>
      <x:c r="D67" s="15" t="str">
        <x:v>https://www.distinctiveweb.com/wp-content/uploads/2019/11/C-level-Executive-Resume_Page_1.jpg</x:v>
      </x:c>
      <x:c r="E67" s="15" t="str">
        <x:v>2026-10-25</x:v>
      </x:c>
      <x:c r="F67" s="15" t="str">
        <x:v>Retained from October 25 evidence reassessment</x:v>
      </x:c>
      <x:c r="G67" s="15" t="str">
        <x:v>Retrieved in follow-up; source statements classified in company profile</x:v>
      </x:c>
    </x:row>
    <x:row r="68" ht="100" customHeight="1">
      <x:c r="A68" s="15" t="str">
        <x:v>S063</x:v>
      </x:c>
      <x:c r="B68" s="15" t="str">
        <x:v>CEO page 2</x:v>
      </x:c>
      <x:c r="C68" s="15" t="str">
        <x:v>Distinctive Career Services</x:v>
      </x:c>
      <x:c r="D68" s="15" t="str">
        <x:v>https://www.distinctiveweb.com/wp-content/uploads/2019/11/C-level-Executive-Resume_Page_2.jpg</x:v>
      </x:c>
      <x:c r="E68" s="15" t="str">
        <x:v>2026-10-25</x:v>
      </x:c>
      <x:c r="F68" s="15" t="str">
        <x:v>Retained from October 25 evidence reassessment</x:v>
      </x:c>
      <x:c r="G68" s="15" t="str">
        <x:v>Retrieved in follow-up; source statements classified in company profile</x:v>
      </x:c>
    </x:row>
    <x:row r="69" ht="100" customHeight="1">
      <x:c r="A69" s="15" t="str">
        <x:v>S064</x:v>
      </x:c>
      <x:c r="B69" s="15" t="str">
        <x:v>CEO page 3</x:v>
      </x:c>
      <x:c r="C69" s="15" t="str">
        <x:v>Distinctive Career Services</x:v>
      </x:c>
      <x:c r="D69" s="15" t="str">
        <x:v>https://www.distinctiveweb.com/wp-content/uploads/2019/11/C-level-Executive-Resume_Page_3.jpg</x:v>
      </x:c>
      <x:c r="E69" s="15" t="str">
        <x:v>2026-10-25</x:v>
      </x:c>
      <x:c r="F69" s="15" t="str">
        <x:v>Retained from October 25 evidence reassessment</x:v>
      </x:c>
      <x:c r="G69" s="15" t="str">
        <x:v>Retrieved in follow-up; source statements classified in company profile</x:v>
      </x:c>
    </x:row>
    <x:row r="70" ht="100" customHeight="1">
      <x:c r="A70" s="15" t="str">
        <x:v>S065</x:v>
      </x:c>
      <x:c r="B70" s="15" t="str">
        <x:v>Issuer directory</x:v>
      </x:c>
      <x:c r="C70" s="15" t="str">
        <x:v>Distinctive Career Services</x:v>
      </x:c>
      <x:c r="D70" s="15" t="str">
        <x:v>https://thenrwa.org/widget/Sys/PublicProfile/8775749</x:v>
      </x:c>
      <x:c r="E70" s="15" t="str">
        <x:v>2026-10-25</x:v>
      </x:c>
      <x:c r="F70" s="15" t="str">
        <x:v>Retained from October 25 evidence reassessment</x:v>
      </x:c>
      <x:c r="G70" s="15" t="str">
        <x:v>Retrieved issuer profile; old renewal fields leave current renewal unresolved</x:v>
      </x:c>
    </x:row>
    <x:row r="71" ht="100" customHeight="1">
      <x:c r="A71" s="15" t="str">
        <x:v>S066</x:v>
      </x:c>
      <x:c r="B71" s="15" t="str">
        <x:v>Professional recognition</x:v>
      </x:c>
      <x:c r="C71" s="15" t="str">
        <x:v>Distinctive Career Services</x:v>
      </x:c>
      <x:c r="D71" s="15" t="str">
        <x:v>https://thenrwa.org/industryheroaward</x:v>
      </x:c>
      <x:c r="E71" s="15" t="str">
        <x:v>2026-10-26</x:v>
      </x:c>
      <x:c r="F71" s="15" t="str">
        <x:v>October 25 evidence, refreshed October 26</x:v>
      </x:c>
      <x:c r="G71" s="15" t="str">
        <x:v>Retrieved in follow-up; source statements classified in company profile; relevant page reopened in final-scoring pass, not paid delivery testing.</x:v>
      </x:c>
    </x:row>
    <x:row r="72" ht="100" customHeight="1">
      <x:c r="A72" s="15" t="str">
        <x:v>S067</x:v>
      </x:c>
      <x:c r="B72" s="15" t="str">
        <x:v>Current company claims</x:v>
      </x:c>
      <x:c r="C72" s="15" t="str">
        <x:v>Resume Writing Group</x:v>
      </x:c>
      <x:c r="D72" s="15" t="str">
        <x:v>https://www.resumewritinggroup.com/</x:v>
      </x:c>
      <x:c r="E72" s="15" t="str">
        <x:v>2026-10-25</x:v>
      </x:c>
      <x:c r="F72" s="15" t="str">
        <x:v>Retained from October 25 evidence reassessment</x:v>
      </x:c>
      <x:c r="G72" s="15" t="str">
        <x:v>Retrieved in follow-up; source statements classified in company profile</x:v>
      </x:c>
    </x:row>
    <x:row r="73" ht="100" customHeight="1">
      <x:c r="A73" s="15" t="str">
        <x:v>S068</x:v>
      </x:c>
      <x:c r="B73" s="15" t="str">
        <x:v>BBB complaints</x:v>
      </x:c>
      <x:c r="C73" s="15" t="str">
        <x:v>Resume Writing Group</x:v>
      </x:c>
      <x:c r="D73" s="15" t="str">
        <x:v>https://www.bbb.org/us/wi/jefferson/profile/resume-services/resume-writing-group-0694-1000057847/complaints</x:v>
      </x:c>
      <x:c r="E73" s="15" t="str">
        <x:v>2026-10-25</x:v>
      </x:c>
      <x:c r="F73" s="15" t="str">
        <x:v>Retained from October 25 evidence reassessment</x:v>
      </x:c>
      <x:c r="G73" s="15" t="str">
        <x:v>Retrieved in follow-up; source statements classified in company profile</x:v>
      </x:c>
    </x:row>
    <x:row r="74" ht="100" customHeight="1">
      <x:c r="A74" s="15" t="str">
        <x:v>S069</x:v>
      </x:c>
      <x:c r="B74" s="15" t="str">
        <x:v>Linked guarantee document</x:v>
      </x:c>
      <x:c r="C74" s="15" t="str">
        <x:v>Resume Writing Group</x:v>
      </x:c>
      <x:c r="D74" s="15" t="str">
        <x:v>https://www.resumewritinggroup.com/assets/resumewritingterms.pdf</x:v>
      </x:c>
      <x:c r="E74" s="15" t="str">
        <x:v>2026-10-25</x:v>
      </x:c>
      <x:c r="F74" s="15" t="str">
        <x:v>Retained from October 25 evidence reassessment</x:v>
      </x:c>
      <x:c r="G74" s="15" t="str">
        <x:v>Earlier captured terms; not newly visually assessed</x:v>
      </x:c>
    </x:row>
    <x:row r="75" ht="100" customHeight="1">
      <x:c r="A75" s="15" t="str">
        <x:v>S070</x:v>
      </x:c>
      <x:c r="B75" s="15" t="str">
        <x:v>Independent reviews</x:v>
      </x:c>
      <x:c r="C75" s="15" t="str">
        <x:v>Resume Writing Group</x:v>
      </x:c>
      <x:c r="D75" s="15" t="str">
        <x:v>https://www.trustpilot.com/review/resumewritinggroup.com</x:v>
      </x:c>
      <x:c r="E75" s="15" t="str">
        <x:v>2026-10-25</x:v>
      </x:c>
      <x:c r="F75" s="15" t="str">
        <x:v>Retained from October 25 evidence reassessment</x:v>
      </x:c>
      <x:c r="G75" s="15" t="str">
        <x:v>Earlier same-day detailed review record retained</x:v>
      </x:c>
    </x:row>
    <x:row r="76" ht="100" customHeight="1">
      <x:c r="A76" s="15" t="str">
        <x:v>S071</x:v>
      </x:c>
      <x:c r="B76" s="15" t="str">
        <x:v>Expert offer</x:v>
      </x:c>
      <x:c r="C76" s="15" t="str">
        <x:v>An Expert Resume</x:v>
      </x:c>
      <x:c r="D76" s="15" t="str">
        <x:v>https://www.anexpertresume.com/executive-resume-services/expert-package-service/</x:v>
      </x:c>
      <x:c r="E76" s="15" t="str">
        <x:v>2026-10-25</x:v>
      </x:c>
      <x:c r="F76" s="15" t="str">
        <x:v>Retained from October 25 evidence reassessment</x:v>
      </x:c>
      <x:c r="G76" s="15" t="str">
        <x:v>Retrieved in follow-up; source statements classified in company profile</x:v>
      </x:c>
    </x:row>
    <x:row r="77" ht="100" customHeight="1">
      <x:c r="A77" s="15" t="str">
        <x:v>S072</x:v>
      </x:c>
      <x:c r="B77" s="15" t="str">
        <x:v>Process and outcome basis</x:v>
      </x:c>
      <x:c r="C77" s="15" t="str">
        <x:v>An Expert Resume</x:v>
      </x:c>
      <x:c r="D77" s="15" t="str">
        <x:v>https://www.anexpertresume.com/faqs/</x:v>
      </x:c>
      <x:c r="E77" s="15" t="str">
        <x:v>2026-10-25</x:v>
      </x:c>
      <x:c r="F77" s="15" t="str">
        <x:v>Retained from October 25 evidence reassessment</x:v>
      </x:c>
      <x:c r="G77" s="15" t="str">
        <x:v>Retrieved in follow-up; source statements classified in company profile</x:v>
      </x:c>
    </x:row>
    <x:row r="78" ht="100" customHeight="1">
      <x:c r="A78" s="15" t="str">
        <x:v>S073</x:v>
      </x:c>
      <x:c r="B78" s="15" t="str">
        <x:v>Selected customer accounts</x:v>
      </x:c>
      <x:c r="C78" s="15" t="str">
        <x:v>An Expert Resume</x:v>
      </x:c>
      <x:c r="D78" s="15" t="str">
        <x:v>https://www.anexpertresume.com/executive-resume-writer/laura-smith-proulx-executive-resume-writer-reviews/</x:v>
      </x:c>
      <x:c r="E78" s="15" t="str">
        <x:v>2026-10-25</x:v>
      </x:c>
      <x:c r="F78" s="15" t="str">
        <x:v>Retained from October 25 evidence reassessment</x:v>
      </x:c>
      <x:c r="G78" s="15" t="str">
        <x:v>Retrieved in follow-up; source statements classified in company profile</x:v>
      </x:c>
    </x:row>
    <x:row r="79" ht="100" customHeight="1">
      <x:c r="A79" s="15" t="str">
        <x:v>S074</x:v>
      </x:c>
      <x:c r="B79" s="15" t="str">
        <x:v>Portfolio page</x:v>
      </x:c>
      <x:c r="C79" s="15" t="str">
        <x:v>An Expert Resume</x:v>
      </x:c>
      <x:c r="D79" s="15" t="str">
        <x:v>https://www.anexpertresume.com/executive-resume-samples/healthcare-cio-resume/</x:v>
      </x:c>
      <x:c r="E79" s="15" t="str">
        <x:v>2026-10-26</x:v>
      </x:c>
      <x:c r="F79" s="15" t="str">
        <x:v>October 25 evidence, refreshed October 26</x:v>
      </x:c>
      <x:c r="G79" s="15" t="str">
        <x:v>Retrieved in follow-up; source statements classified in company profile; relevant page reopened in final-scoring pass, not paid delivery testing.</x:v>
      </x:c>
    </x:row>
    <x:row r="80" ht="100" customHeight="1">
      <x:c r="A80" s="15" t="str">
        <x:v>S075</x:v>
      </x:c>
      <x:c r="B80" s="15" t="str">
        <x:v>Packages</x:v>
      </x:c>
      <x:c r="C80" s="15" t="str">
        <x:v>Resume Target</x:v>
      </x:c>
      <x:c r="D80" s="15" t="str">
        <x:v>https://www.resumetarget.com/resume-writing-service.php</x:v>
      </x:c>
      <x:c r="E80" s="15" t="str">
        <x:v>2026-10-25</x:v>
      </x:c>
      <x:c r="F80" s="15" t="str">
        <x:v>Retained from October 25 evidence reassessment</x:v>
      </x:c>
      <x:c r="G80" s="15" t="str">
        <x:v>Retrieved in follow-up; source statements classified in company profile</x:v>
      </x:c>
    </x:row>
    <x:row r="81" ht="100" customHeight="1">
      <x:c r="A81" s="15" t="str">
        <x:v>S076</x:v>
      </x:c>
      <x:c r="B81" s="15" t="str">
        <x:v>Writer model</x:v>
      </x:c>
      <x:c r="C81" s="15" t="str">
        <x:v>Resume Target</x:v>
      </x:c>
      <x:c r="D81" s="15" t="str">
        <x:v>https://www.resumetarget.com/our-writers.php</x:v>
      </x:c>
      <x:c r="E81" s="15" t="str">
        <x:v>2026-10-25</x:v>
      </x:c>
      <x:c r="F81" s="15" t="str">
        <x:v>Retained from October 25 evidence reassessment</x:v>
      </x:c>
      <x:c r="G81" s="15" t="str">
        <x:v>Retrieved in follow-up; source statements classified in company profile</x:v>
      </x:c>
    </x:row>
    <x:row r="82" ht="100" customHeight="1">
      <x:c r="A82" s="15" t="str">
        <x:v>S077</x:v>
      </x:c>
      <x:c r="B82" s="15" t="str">
        <x:v>Guarantee</x:v>
      </x:c>
      <x:c r="C82" s="15" t="str">
        <x:v>Resume Target</x:v>
      </x:c>
      <x:c r="D82" s="15" t="str">
        <x:v>https://www.resumetarget.com/90-day-guarantee.php</x:v>
      </x:c>
      <x:c r="E82" s="15" t="str">
        <x:v>2026-10-25</x:v>
      </x:c>
      <x:c r="F82" s="15" t="str">
        <x:v>Retained from October 25 evidence reassessment</x:v>
      </x:c>
      <x:c r="G82" s="15" t="str">
        <x:v>Retrieved in follow-up; source statements classified in company profile</x:v>
      </x:c>
    </x:row>
    <x:row r="83" ht="100" customHeight="1">
      <x:c r="A83" s="15" t="str">
        <x:v>S078</x:v>
      </x:c>
      <x:c r="B83" s="15" t="str">
        <x:v>BBB complaints</x:v>
      </x:c>
      <x:c r="C83" s="15" t="str">
        <x:v>Resume Target</x:v>
      </x:c>
      <x:c r="D83" s="15" t="str">
        <x:v>https://www.bbb.org/ca/on/toronto/profile/resume-services/resume-target-inc-0107-1244045/complaints</x:v>
      </x:c>
      <x:c r="E83" s="15" t="str">
        <x:v>2026-10-25</x:v>
      </x:c>
      <x:c r="F83" s="15" t="str">
        <x:v>Retained from October 25 evidence reassessment</x:v>
      </x:c>
      <x:c r="G83" s="15" t="str">
        <x:v>Retrieved in follow-up; source statements classified in company profile</x:v>
      </x:c>
    </x:row>
    <x:row r="84" ht="100" customHeight="1">
      <x:c r="A84" s="15" t="str">
        <x:v>S079</x:v>
      </x:c>
      <x:c r="B84" s="15" t="str">
        <x:v>Prices and availability</x:v>
      </x:c>
      <x:c r="C84" s="15" t="str">
        <x:v>The Writing Guru</x:v>
      </x:c>
      <x:c r="D84" s="15" t="str">
        <x:v>https://writingguru.net/contact-us/</x:v>
      </x:c>
      <x:c r="E84" s="15" t="str">
        <x:v>2026-10-25</x:v>
      </x:c>
      <x:c r="F84" s="15" t="str">
        <x:v>Retained from October 25 evidence reassessment</x:v>
      </x:c>
      <x:c r="G84" s="15" t="str">
        <x:v>Retrieved in follow-up; source statements classified in company profile</x:v>
      </x:c>
    </x:row>
    <x:row r="85" ht="100" customHeight="1">
      <x:c r="A85" s="15" t="str">
        <x:v>S080</x:v>
      </x:c>
      <x:c r="B85" s="15" t="str">
        <x:v>Issuer record</x:v>
      </x:c>
      <x:c r="C85" s="15" t="str">
        <x:v>The Writing Guru</x:v>
      </x:c>
      <x:c r="D85" s="15" t="str">
        <x:v>https://thenrwa.org/Sys/PublicProfile/12181995/3660697</x:v>
      </x:c>
      <x:c r="E85" s="15" t="str">
        <x:v>2026-10-25</x:v>
      </x:c>
      <x:c r="F85" s="15" t="str">
        <x:v>Retained from October 25 evidence reassessment</x:v>
      </x:c>
      <x:c r="G85" s="15" t="str">
        <x:v>Retrieved in follow-up; source statements classified in company profile</x:v>
      </x:c>
    </x:row>
    <x:row r="86" ht="100" customHeight="1">
      <x:c r="A86" s="15" t="str">
        <x:v>S081</x:v>
      </x:c>
      <x:c r="B86" s="15" t="str">
        <x:v>Company credential claims</x:v>
      </x:c>
      <x:c r="C86" s="15" t="str">
        <x:v>The Writing Guru</x:v>
      </x:c>
      <x:c r="D86" s="15" t="str">
        <x:v>https://writingguru.net/</x:v>
      </x:c>
      <x:c r="E86" s="15" t="str">
        <x:v>2026-10-25</x:v>
      </x:c>
      <x:c r="F86" s="15" t="str">
        <x:v>Retained from October 25 evidence reassessment</x:v>
      </x:c>
      <x:c r="G86" s="15" t="str">
        <x:v>Retrieved in follow-up; source statements classified in company profile</x:v>
      </x:c>
    </x:row>
    <x:row r="87" ht="100" customHeight="1">
      <x:c r="A87" s="15" t="str">
        <x:v>S082</x:v>
      </x:c>
      <x:c r="B87" s="15" t="str">
        <x:v>Selected reviews</x:v>
      </x:c>
      <x:c r="C87" s="15" t="str">
        <x:v>The Writing Guru</x:v>
      </x:c>
      <x:c r="D87" s="15" t="str">
        <x:v>https://writingguru.net/the-writing-guru-wendi-weiner-executive-resume-writer-reviews/</x:v>
      </x:c>
      <x:c r="E87" s="15" t="str">
        <x:v>2026-10-25</x:v>
      </x:c>
      <x:c r="F87" s="15" t="str">
        <x:v>Retained from October 25 evidence reassessment</x:v>
      </x:c>
      <x:c r="G87" s="15" t="str">
        <x:v>Retrieved in follow-up; source statements classified in company profile</x:v>
      </x:c>
    </x:row>
    <x:row r="88" ht="100" customHeight="1">
      <x:c r="A88" s="15" t="str">
        <x:v>S083</x:v>
      </x:c>
      <x:c r="B88" s="15" t="str">
        <x:v>Sample disclosures</x:v>
      </x:c>
      <x:c r="C88" s="15" t="str">
        <x:v>The Writing Guru</x:v>
      </x:c>
      <x:c r="D88" s="15" t="str">
        <x:v>https://writingguru.net/resume-samples/</x:v>
      </x:c>
      <x:c r="E88" s="15" t="str">
        <x:v>2026-10-26</x:v>
      </x:c>
      <x:c r="F88" s="15" t="str">
        <x:v>October 25 evidence, refreshed October 26</x:v>
      </x:c>
      <x:c r="G88" s="15" t="str">
        <x:v>Retrieved in follow-up; source statements classified in company profile; relevant page reopened in final-scoring pass, not paid delivery testing.</x:v>
      </x:c>
    </x:row>
    <x:row r="89" ht="100" customHeight="1">
      <x:c r="A89" s="15" t="str">
        <x:v>S084</x:v>
      </x:c>
      <x:c r="B89" s="15" t="str">
        <x:v>Current packages</x:v>
      </x:c>
      <x:c r="C89" s="15" t="str">
        <x:v>Career Impressions</x:v>
      </x:c>
      <x:c r="D89" s="15" t="str">
        <x:v>https://careerimpressions.ca/packages/</x:v>
      </x:c>
      <x:c r="E89" s="15" t="str">
        <x:v>2026-10-25</x:v>
      </x:c>
      <x:c r="F89" s="15" t="str">
        <x:v>Retained from October 25 evidence reassessment</x:v>
      </x:c>
      <x:c r="G89" s="15" t="str">
        <x:v>Retrieved in follow-up; source statements classified in company profile</x:v>
      </x:c>
    </x:row>
    <x:row r="90" ht="100" customHeight="1">
      <x:c r="A90" s="15" t="str">
        <x:v>S085</x:v>
      </x:c>
      <x:c r="B90" s="15" t="str">
        <x:v>Selected customer outcomes</x:v>
      </x:c>
      <x:c r="C90" s="15" t="str">
        <x:v>Career Impressions</x:v>
      </x:c>
      <x:c r="D90" s="15" t="str">
        <x:v>https://careerimpressions.ca/testimonials/</x:v>
      </x:c>
      <x:c r="E90" s="15" t="str">
        <x:v>2026-10-25</x:v>
      </x:c>
      <x:c r="F90" s="15" t="str">
        <x:v>Retained from October 25 evidence reassessment</x:v>
      </x:c>
      <x:c r="G90" s="15" t="str">
        <x:v>Retrieved in follow-up; source statements classified in company profile</x:v>
      </x:c>
    </x:row>
    <x:row r="91" ht="100" customHeight="1">
      <x:c r="A91" s="15" t="str">
        <x:v>S086</x:v>
      </x:c>
      <x:c r="B91" s="15" t="str">
        <x:v>Sample gallery</x:v>
      </x:c>
      <x:c r="C91" s="15" t="str">
        <x:v>Career Impressions</x:v>
      </x:c>
      <x:c r="D91" s="15" t="str">
        <x:v>https://careerimpressions.ca/samples/</x:v>
      </x:c>
      <x:c r="E91" s="15" t="str">
        <x:v>2026-10-25</x:v>
      </x:c>
      <x:c r="F91" s="15" t="str">
        <x:v>Retained from October 25 evidence reassessment</x:v>
      </x:c>
      <x:c r="G91" s="15" t="str">
        <x:v>Retrieved in follow-up; source statements classified in company profile</x:v>
      </x:c>
    </x:row>
    <x:row r="92" ht="100" customHeight="1">
      <x:c r="A92" s="15" t="str">
        <x:v>S087</x:v>
      </x:c>
      <x:c r="B92" s="15" t="str">
        <x:v>Examined COO excerpt</x:v>
      </x:c>
      <x:c r="C92" s="15" t="str">
        <x:v>Career Impressions</x:v>
      </x:c>
      <x:c r="D92" s="15" t="str">
        <x:v>https://careerimpressions.ca/wp-content/uploads/2025/05/Image-2025-05-14-at-11.56%E2%80%AFAM.jpeg</x:v>
      </x:c>
      <x:c r="E92" s="15" t="str">
        <x:v>2026-10-25</x:v>
      </x:c>
      <x:c r="F92" s="15" t="str">
        <x:v>Retained from October 25 evidence reassessment</x:v>
      </x:c>
      <x:c r="G92" s="15" t="str">
        <x:v>Retrieved in follow-up; source statements classified in company profile</x:v>
      </x:c>
    </x:row>
    <x:row r="93" ht="100" customHeight="1">
      <x:c r="A93" s="15" t="str">
        <x:v>S088</x:v>
      </x:c>
      <x:c r="B93" s="15" t="str">
        <x:v>CERM issuer directory</x:v>
      </x:c>
      <x:c r="C93" s="15" t="str">
        <x:v>Career Impressions</x:v>
      </x:c>
      <x:c r="D93" s="15" t="str">
        <x:v>https://careerdirectors.com/certified-executive-resume-masters-cerm/</x:v>
      </x:c>
      <x:c r="E93" s="15" t="str">
        <x:v>2026-10-26</x:v>
      </x:c>
      <x:c r="F93" s="15" t="str">
        <x:v>October 25 evidence, refreshed October 26</x:v>
      </x:c>
      <x:c r="G93" s="15" t="str">
        <x:v>Retrieved in follow-up; source statements classified in company profile; relevant page reopened in final-scoring pass, not paid delivery testing.</x:v>
      </x:c>
    </x:row>
    <x:row r="94" ht="100" customHeight="1">
      <x:c r="A94" s="15" t="str">
        <x:v>S089</x:v>
      </x:c>
      <x:c r="B94" s="15" t="str">
        <x:v>Official site; access limited</x:v>
      </x:c>
      <x:c r="C94" s="15" t="str">
        <x:v>CareerProPlus / CareerPro Global</x:v>
      </x:c>
      <x:c r="D94" s="15" t="str">
        <x:v>https://www.careerproplus.com/</x:v>
      </x:c>
      <x:c r="E94" s="15" t="str">
        <x:v>2026-10-25</x:v>
      </x:c>
      <x:c r="F94" s="15" t="str">
        <x:v>Retained from October 25 evidence reassessment</x:v>
      </x:c>
      <x:c r="G94" s="15" t="str">
        <x:v>Access incomplete; current official offer not verified</x:v>
      </x:c>
    </x:row>
    <x:row r="95" ht="100" customHeight="1">
      <x:c r="A95" s="15" t="str">
        <x:v>S090</x:v>
      </x:c>
      <x:c r="B95" s="15" t="str">
        <x:v>BBB identity</x:v>
      </x:c>
      <x:c r="C95" s="15" t="str">
        <x:v>CareerProPlus / CareerPro Global</x:v>
      </x:c>
      <x:c r="D95" s="15" t="str">
        <x:v>https://www.bbb.org/us/ga/macon/profile/career-counseling/careerpro-global-inc-0743-6495</x:v>
      </x:c>
      <x:c r="E95" s="15" t="str">
        <x:v>2026-10-25</x:v>
      </x:c>
      <x:c r="F95" s="15" t="str">
        <x:v>Retained from October 25 evidence reassessment</x:v>
      </x:c>
      <x:c r="G95" s="15" t="str">
        <x:v>Retrieved in follow-up; source statements classified in company profile</x:v>
      </x:c>
    </x:row>
    <x:row r="96" ht="100" customHeight="1">
      <x:c r="A96" s="15" t="str">
        <x:v>S091</x:v>
      </x:c>
      <x:c r="B96" s="15" t="str">
        <x:v>Customer reviews</x:v>
      </x:c>
      <x:c r="C96" s="15" t="str">
        <x:v>CareerProPlus / CareerPro Global</x:v>
      </x:c>
      <x:c r="D96" s="15" t="str">
        <x:v>https://www.bbb.org/us/ga/macon/profile/career-counseling/careerpro-global-inc-0743-6495/customer-reviews</x:v>
      </x:c>
      <x:c r="E96" s="15" t="str">
        <x:v>2026-10-25</x:v>
      </x:c>
      <x:c r="F96" s="15" t="str">
        <x:v>Retained from October 25 evidence reassessment</x:v>
      </x:c>
      <x:c r="G96" s="15" t="str">
        <x:v>Retrieved in follow-up; source statements classified in company profile</x:v>
      </x:c>
    </x:row>
    <x:row r="97" ht="100" customHeight="1">
      <x:c r="A97" s="15" t="str">
        <x:v>S092</x:v>
      </x:c>
      <x:c r="B97" s="15" t="str">
        <x:v>Complaints</x:v>
      </x:c>
      <x:c r="C97" s="15" t="str">
        <x:v>CareerProPlus / CareerPro Global</x:v>
      </x:c>
      <x:c r="D97" s="15" t="str">
        <x:v>https://www.bbb.org/us/ga/macon/profile/career-counseling/careerpro-global-inc-0743-6495/complaints</x:v>
      </x:c>
      <x:c r="E97" s="15" t="str">
        <x:v>2026-10-25</x:v>
      </x:c>
      <x:c r="F97" s="15" t="str">
        <x:v>Retained from October 25 evidence reassessment</x:v>
      </x:c>
      <x:c r="G97" s="15" t="str">
        <x:v>Retrieved in follow-up; source statements classified in company profile</x:v>
      </x:c>
    </x:row>
    <x:row r="98" ht="100" customHeight="1">
      <x:c r="A98" s="15" t="str">
        <x:v>S093</x:v>
      </x:c>
      <x:c r="B98" s="15" t="str">
        <x:v>Offer, process and source-associated reviews</x:v>
      </x:c>
      <x:c r="C98" s="15" t="str">
        <x:v>Career Steering</x:v>
      </x:c>
      <x:c r="D98" s="15" t="str">
        <x:v>https://careersteering.com/executive-resume-service-writing-services/</x:v>
      </x:c>
      <x:c r="E98" s="15" t="str">
        <x:v>2026-10-25</x:v>
      </x:c>
      <x:c r="F98" s="15" t="str">
        <x:v>Retained from October 25 evidence reassessment</x:v>
      </x:c>
      <x:c r="G98" s="15" t="str">
        <x:v>Retrieved in follow-up; source statements classified in company profile</x:v>
      </x:c>
    </x:row>
    <x:row r="99" ht="100" customHeight="1">
      <x:c r="A99" s="15" t="str">
        <x:v>S094</x:v>
      </x:c>
      <x:c r="B99" s="15" t="str">
        <x:v>Official site</x:v>
      </x:c>
      <x:c r="C99" s="15" t="str">
        <x:v>Career Steering</x:v>
      </x:c>
      <x:c r="D99" s="15" t="str">
        <x:v>https://careersteering.com/</x:v>
      </x:c>
      <x:c r="E99" s="15" t="str">
        <x:v>2026-10-25</x:v>
      </x:c>
      <x:c r="F99" s="15" t="str">
        <x:v>Retained from October 25 evidence reassessment</x:v>
      </x:c>
      <x:c r="G99" s="15" t="str">
        <x:v>Retrieved in follow-up; source statements classified in company profile</x:v>
      </x:c>
    </x:row>
    <x:row r="100" ht="100" customHeight="1">
      <x:c r="A100" s="15" t="str">
        <x:v>S095</x:v>
      </x:c>
      <x:c r="B100" s="15" t="str">
        <x:v>Prices and services</x:v>
      </x:c>
      <x:c r="C100" s="15" t="str">
        <x:v>Blue Sky Resumes</x:v>
      </x:c>
      <x:c r="D100" s="15" t="str">
        <x:v>https://www.blueskyresumes.com/our-services/</x:v>
      </x:c>
      <x:c r="E100" s="15" t="str">
        <x:v>2026-10-25</x:v>
      </x:c>
      <x:c r="F100" s="15" t="str">
        <x:v>Retained from October 25 evidence reassessment</x:v>
      </x:c>
      <x:c r="G100" s="15" t="str">
        <x:v>Retrieved in follow-up; source statements classified in company profile</x:v>
      </x:c>
    </x:row>
    <x:row r="101" ht="100" customHeight="1">
      <x:c r="A101" s="15" t="str">
        <x:v>S096</x:v>
      </x:c>
      <x:c r="B101" s="15" t="str">
        <x:v>Ownership and team continuity</x:v>
      </x:c>
      <x:c r="C101" s="15" t="str">
        <x:v>Blue Sky Resumes</x:v>
      </x:c>
      <x:c r="D101" s="15" t="str">
        <x:v>https://www.blueskyresumes.com/our-team/</x:v>
      </x:c>
      <x:c r="E101" s="15" t="str">
        <x:v>2026-10-26</x:v>
      </x:c>
      <x:c r="F101" s="15" t="str">
        <x:v>October 25 evidence, refreshed October 26</x:v>
      </x:c>
      <x:c r="G101" s="15" t="str">
        <x:v>Retrieved in follow-up; source statements classified in company profile; relevant page reopened in final-scoring pass, not paid delivery testing.</x:v>
      </x:c>
    </x:row>
    <x:row r="102" ht="100" customHeight="1">
      <x:c r="A102" s="15" t="str">
        <x:v>S097</x:v>
      </x:c>
      <x:c r="B102" s="15" t="str">
        <x:v>Current scope and ranges</x:v>
      </x:c>
      <x:c r="C102" s="15" t="str">
        <x:v>Briefcase Coach</x:v>
      </x:c>
      <x:c r="D102" s="15" t="str">
        <x:v>https://www.briefcasecoach.com/schedule-consultation/</x:v>
      </x:c>
      <x:c r="E102" s="15" t="str">
        <x:v>2026-10-25</x:v>
      </x:c>
      <x:c r="F102" s="15" t="str">
        <x:v>Retained from October 25 evidence reassessment</x:v>
      </x:c>
      <x:c r="G102" s="15" t="str">
        <x:v>Retrieved in follow-up; source statements classified in company profile</x:v>
      </x:c>
    </x:row>
    <x:row r="103" ht="100" customHeight="1">
      <x:c r="A103" s="15" t="str">
        <x:v>S098</x:v>
      </x:c>
      <x:c r="B103" s="15" t="str">
        <x:v>Executive service</x:v>
      </x:c>
      <x:c r="C103" s="15" t="str">
        <x:v>Briefcase Coach</x:v>
      </x:c>
      <x:c r="D103" s="15" t="str">
        <x:v>https://www.briefcasecoach.com/executive-resumes/</x:v>
      </x:c>
      <x:c r="E103" s="15" t="str">
        <x:v>2026-10-25</x:v>
      </x:c>
      <x:c r="F103" s="15" t="str">
        <x:v>Retained from October 25 evidence reassessment</x:v>
      </x:c>
      <x:c r="G103" s="15" t="str">
        <x:v>Retrieved in follow-up; source statements classified in company profile</x:v>
      </x:c>
    </x:row>
    <x:row r="104" ht="100" customHeight="1">
      <x:c r="A104" s="15" t="str">
        <x:v>S099</x:v>
      </x:c>
      <x:c r="B104" s="15" t="str">
        <x:v>Professional offer</x:v>
      </x:c>
      <x:c r="C104" s="15" t="str">
        <x:v>Klaxos</x:v>
      </x:c>
      <x:c r="D104" s="15" t="str">
        <x:v>https://klaxos.com/services/professional-resume-linkedin-writing/</x:v>
      </x:c>
      <x:c r="E104" s="15" t="str">
        <x:v>2026-10-25</x:v>
      </x:c>
      <x:c r="F104" s="15" t="str">
        <x:v>Retained from October 25 evidence reassessment</x:v>
      </x:c>
      <x:c r="G104" s="15" t="str">
        <x:v>Retrieved in follow-up; source statements classified in company profile</x:v>
      </x:c>
    </x:row>
    <x:row r="105" ht="100" customHeight="1">
      <x:c r="A105" s="15" t="str">
        <x:v>S100</x:v>
      </x:c>
      <x:c r="B105" s="15" t="str">
        <x:v>Company FAQ</x:v>
      </x:c>
      <x:c r="C105" s="15" t="str">
        <x:v>Klaxos</x:v>
      </x:c>
      <x:c r="D105" s="15" t="str">
        <x:v>https://klaxos.com/faq/</x:v>
      </x:c>
      <x:c r="E105" s="15" t="str">
        <x:v>2026-10-25</x:v>
      </x:c>
      <x:c r="F105" s="15" t="str">
        <x:v>Retained from October 25 evidence reassessment</x:v>
      </x:c>
      <x:c r="G105" s="15" t="str">
        <x:v>Retrieved in follow-up; source statements classified in company profile</x:v>
      </x:c>
    </x:row>
    <x:row r="106" ht="100" customHeight="1">
      <x:c r="A106" s="15" t="str">
        <x:v>S101</x:v>
      </x:c>
      <x:c r="B106" s="15" t="str">
        <x:v>BBB complaints</x:v>
      </x:c>
      <x:c r="C106" s="15" t="str">
        <x:v>Klaxos</x:v>
      </x:c>
      <x:c r="D106" s="15" t="str">
        <x:v>https://www.bbb.org/us/dc/washington/profile/resume-services/klaxos-0241-235999426/complaints</x:v>
      </x:c>
      <x:c r="E106" s="15" t="str">
        <x:v>2026-10-25</x:v>
      </x:c>
      <x:c r="F106" s="15" t="str">
        <x:v>Retained from October 25 evidence reassessment</x:v>
      </x:c>
      <x:c r="G106" s="15" t="str">
        <x:v>Retrieved in follow-up; source statements classified in company profile</x:v>
      </x:c>
    </x:row>
    <x:row r="107" ht="100" customHeight="1">
      <x:c r="A107" s="15" t="str">
        <x:v>S102</x:v>
      </x:c>
      <x:c r="B107" s="15" t="str">
        <x:v>Detailed writing process</x:v>
      </x:c>
      <x:c r="C107" s="15" t="str">
        <x:v>Scientech Resumes / Scientech Career Systems</x:v>
      </x:c>
      <x:c r="D107" s="15" t="str">
        <x:v>https://scientechresumes.com/scientech-writing-process/</x:v>
      </x:c>
      <x:c r="E107" s="15" t="str">
        <x:v>2026-10-25</x:v>
      </x:c>
      <x:c r="F107" s="15" t="str">
        <x:v>Retained from October 25 evidence reassessment</x:v>
      </x:c>
      <x:c r="G107" s="15" t="str">
        <x:v>Retrieved in follow-up; source statements classified in company profile</x:v>
      </x:c>
    </x:row>
    <x:row r="108" ht="100" customHeight="1">
      <x:c r="A108" s="15" t="str">
        <x:v>S103</x:v>
      </x:c>
      <x:c r="B108" s="15" t="str">
        <x:v>Terms</x:v>
      </x:c>
      <x:c r="C108" s="15" t="str">
        <x:v>Scientech Resumes / Scientech Career Systems</x:v>
      </x:c>
      <x:c r="D108" s="15" t="str">
        <x:v>https://scientechresumes.com/scientech-terms-of-service/</x:v>
      </x:c>
      <x:c r="E108" s="15" t="str">
        <x:v>2026-10-25</x:v>
      </x:c>
      <x:c r="F108" s="15" t="str">
        <x:v>Retained from October 25 evidence reassessment</x:v>
      </x:c>
      <x:c r="G108" s="15" t="str">
        <x:v>Retrieved in follow-up; source statements classified in company profile</x:v>
      </x:c>
    </x:row>
    <x:row r="109" ht="100" customHeight="1">
      <x:c r="A109" s="15" t="str">
        <x:v>S104</x:v>
      </x:c>
      <x:c r="B109" s="15" t="str">
        <x:v>Association profile</x:v>
      </x:c>
      <x:c r="C109" s="15" t="str">
        <x:v>Scientech Resumes / Scientech Career Systems</x:v>
      </x:c>
      <x:c r="D109" s="15" t="str">
        <x:v>https://thenrwa.org/widget/Sys/PublicProfile/39361944/4674619</x:v>
      </x:c>
      <x:c r="E109" s="15" t="str">
        <x:v>2026-10-25</x:v>
      </x:c>
      <x:c r="F109" s="15" t="str">
        <x:v>Retained from October 25 evidence reassessment</x:v>
      </x:c>
      <x:c r="G109" s="15" t="str">
        <x:v>Retrieved in follow-up; source statements classified in company profile</x:v>
      </x:c>
    </x:row>
    <x:row r="110" ht="100" customHeight="1">
      <x:c r="A110" s="15" t="str">
        <x:v>S105</x:v>
      </x:c>
      <x:c r="B110" s="15" t="str">
        <x:v>Recovered executive offer</x:v>
      </x:c>
      <x:c r="C110" s="15" t="str">
        <x:v>Employment BOOST</x:v>
      </x:c>
      <x:c r="D110" s="15" t="str">
        <x:v>https://employmentboost.com/product/executive-resume-writing-package/</x:v>
      </x:c>
      <x:c r="E110" s="15" t="str">
        <x:v>2026-10-25</x:v>
      </x:c>
      <x:c r="F110" s="15" t="str">
        <x:v>Retained from October 25 evidence reassessment</x:v>
      </x:c>
      <x:c r="G110" s="15" t="str">
        <x:v>Retrieved in follow-up; source statements classified in company profile</x:v>
      </x:c>
    </x:row>
    <x:row r="111" ht="100" customHeight="1">
      <x:c r="A111" s="15" t="str">
        <x:v>S106</x:v>
      </x:c>
      <x:c r="B111" s="15" t="str">
        <x:v>Current service hub</x:v>
      </x:c>
      <x:c r="C111" s="15" t="str">
        <x:v>Employment BOOST</x:v>
      </x:c>
      <x:c r="D111" s="15" t="str">
        <x:v>https://employmentboost.com/resume-services/</x:v>
      </x:c>
      <x:c r="E111" s="15" t="str">
        <x:v>2026-10-25</x:v>
      </x:c>
      <x:c r="F111" s="15" t="str">
        <x:v>Retained from October 25 evidence reassessment</x:v>
      </x:c>
      <x:c r="G111" s="15" t="str">
        <x:v>Retrieved in follow-up; source statements classified in company profile</x:v>
      </x:c>
    </x:row>
    <x:row r="112" ht="100" customHeight="1">
      <x:c r="A112" s="15" t="str">
        <x:v>S107</x:v>
      </x:c>
      <x:c r="B112" s="15" t="str">
        <x:v>BBB customer-review profile</x:v>
      </x:c>
      <x:c r="C112" s="15" t="str">
        <x:v>Employment BOOST</x:v>
      </x:c>
      <x:c r="D112" s="15" t="str">
        <x:v>https://www.bbb.org/us/mi/troy/profile/resume-services/employment-boost-resume-writers-0372-90037896/customer-reviews</x:v>
      </x:c>
      <x:c r="E112" s="15" t="str">
        <x:v>2026-10-25</x:v>
      </x:c>
      <x:c r="F112" s="15" t="str">
        <x:v>Retained from October 25 evidence reassessment</x:v>
      </x:c>
      <x:c r="G112" s="15" t="str">
        <x:v>Retrieved in follow-up; source statements classified in company profile</x:v>
      </x:c>
    </x:row>
    <x:row r="113" ht="100" customHeight="1">
      <x:c r="A113" s="15" t="str">
        <x:v>S108</x:v>
      </x:c>
      <x:c r="B113" s="15" t="str">
        <x:v>Current customer-review profile</x:v>
      </x:c>
      <x:c r="C113" s="15" t="str">
        <x:v>TopStack Resume</x:v>
      </x:c>
      <x:c r="D113" s="15" t="str">
        <x:v>https://www.trustpilot.com/review/topstackresume.com</x:v>
      </x:c>
      <x:c r="E113" s="15" t="str">
        <x:v>2026-10-26</x:v>
      </x:c>
      <x:c r="F113" s="15" t="str">
        <x:v>Additional research for final scoring</x:v>
      </x:c>
      <x:c r="G113" s="15" t="str">
        <x:v>Retrieved October 26; recent named writing-service accounts; not a census or authenticity audit.</x:v>
      </x:c>
    </x:row>
    <x:row r="114" ht="100" customHeight="1">
      <x:c r="A114" s="15" t="str">
        <x:v>S109</x:v>
      </x:c>
      <x:c r="B114" s="15" t="str">
        <x:v>About and delivery model</x:v>
      </x:c>
      <x:c r="C114" s="15" t="str">
        <x:v>Briefcase Coach</x:v>
      </x:c>
      <x:c r="D114" s="15" t="str">
        <x:v>https://www.briefcasecoach.com/about/</x:v>
      </x:c>
      <x:c r="E114" s="15" t="str">
        <x:v>2026-10-26</x:v>
      </x:c>
      <x:c r="F114" s="15" t="str">
        <x:v>Additional research for final scoring</x:v>
      </x:c>
      <x:c r="G114" s="15" t="str">
        <x:v>Current company description; referral percentages treated as company-reported.</x:v>
      </x:c>
    </x:row>
    <x:row r="115" ht="100" customHeight="1">
      <x:c r="A115" s="15" t="str">
        <x:v>S110</x:v>
      </x:c>
      <x:c r="B115" s="15" t="str">
        <x:v>Selected client success stories</x:v>
      </x:c>
      <x:c r="C115" s="15" t="str">
        <x:v>Briefcase Coach</x:v>
      </x:c>
      <x:c r="D115" s="15" t="str">
        <x:v>https://www.briefcasecoach.com/client-success-stories/</x:v>
      </x:c>
      <x:c r="E115" s="15" t="str">
        <x:v>2026-10-26</x:v>
      </x:c>
      <x:c r="F115" s="15" t="str">
        <x:v>Additional research for final scoring</x:v>
      </x:c>
      <x:c r="G115" s="15" t="str">
        <x:v>Selected role-attributed outcomes; no service-wide success percentage inferred.</x:v>
      </x:c>
    </x:row>
    <x:row r="116" ht="100" customHeight="1">
      <x:c r="A116" s="15" t="str">
        <x:v>S111</x:v>
      </x:c>
      <x:c r="B116" s="15" t="str">
        <x:v>Ownership and business history</x:v>
      </x:c>
      <x:c r="C116" s="15" t="str">
        <x:v>Blue Sky Resumes</x:v>
      </x:c>
      <x:c r="D116" s="15" t="str">
        <x:v>https://www.blueskyresumes.com/about-us/</x:v>
      </x:c>
      <x:c r="E116" s="15" t="str">
        <x:v>2026-10-26</x:v>
      </x:c>
      <x:c r="F116" s="15" t="str">
        <x:v>Additional research for final scoring</x:v>
      </x:c>
      <x:c r="G116" s="15" t="str">
        <x:v>Current company account of ownership transition and personnel continuity.</x:v>
      </x:c>
    </x:row>
    <x:row r="117" ht="100" customHeight="1">
      <x:c r="A117" s="15" t="str">
        <x:v>S112</x:v>
      </x:c>
      <x:c r="B117" s="15" t="str">
        <x:v>Client fit and working process</x:v>
      </x:c>
      <x:c r="C117" s="15" t="str">
        <x:v>Blue Sky Resumes</x:v>
      </x:c>
      <x:c r="D117" s="15" t="str">
        <x:v>https://www.blueskyresumes.com/about-us/are-we-a-good-fit/</x:v>
      </x:c>
      <x:c r="E117" s="15" t="str">
        <x:v>2026-10-26</x:v>
      </x:c>
      <x:c r="F117" s="15" t="str">
        <x:v>Additional research for final scoring</x:v>
      </x:c>
      <x:c r="G117" s="15" t="str">
        <x:v>Company description and selected client account.</x:v>
      </x:c>
    </x:row>
    <x:row r="118" ht="100" customHeight="1">
      <x:c r="A118" s="15" t="str">
        <x:v>S113</x:v>
      </x:c>
      <x:c r="B118" s="15" t="str">
        <x:v>New-client service and support model</x:v>
      </x:c>
      <x:c r="C118" s="15" t="str">
        <x:v>Scientech Resumes / Scientech Career Systems</x:v>
      </x:c>
      <x:c r="D118" s="15" t="str">
        <x:v>https://scientechresumes.com/new-clients/</x:v>
      </x:c>
      <x:c r="E118" s="15" t="str">
        <x:v>2026-10-26</x:v>
      </x:c>
      <x:c r="F118" s="15" t="str">
        <x:v>Additional research for final scoring</x:v>
      </x:c>
      <x:c r="G118" s="15" t="str">
        <x:v>Direct service, lifetime email access and post-engagement check-ins are advertised commitments.</x:v>
      </x:c>
    </x:row>
    <x:row r="119" ht="100" customHeight="1">
      <x:c r="A119" s="15" t="str">
        <x:v>S114</x:v>
      </x:c>
      <x:c r="B119" s="15" t="str">
        <x:v>Public professional recommendations</x:v>
      </x:c>
      <x:c r="C119" s="15" t="str">
        <x:v>Scientech Resumes / Scientech Career Systems</x:v>
      </x:c>
      <x:c r="D119" s="15" t="str">
        <x:v>https://www.linkedin.com/in/kateewilliamson</x:v>
      </x:c>
      <x:c r="E119" s="15" t="str">
        <x:v>2026-10-26</x:v>
      </x:c>
      <x:c r="F119" s="15" t="str">
        <x:v>Additional research for final scoring</x:v>
      </x:c>
      <x:c r="G119" s="15" t="str">
        <x:v>Search-visible public profile: one clinical-development client reports concurrent offers; a separate workshop recommendation is not a résumé result. Full profile not audited.</x:v>
      </x:c>
    </x:row>
    <x:row r="120" ht="100" customHeight="1">
      <x:c r="A120" s="15" t="str">
        <x:v>S115</x:v>
      </x:c>
      <x:c r="B120" s="15" t="str">
        <x:v>SHRM vendor-directory customer reviews</x:v>
      </x:c>
      <x:c r="C120" s="15" t="str">
        <x:v>Employment BOOST</x:v>
      </x:c>
      <x:c r="D120" s="15" t="str">
        <x:v>https://vendordirectory.shrm.org/company/818721/reviews</x:v>
      </x:c>
      <x:c r="E120" s="15" t="str">
        <x:v>2026-10-26</x:v>
      </x:c>
      <x:c r="F120" s="15" t="str">
        <x:v>Additional research for final scoring</x:v>
      </x:c>
      <x:c r="G120" s="15" t="str">
        <x:v>89 displayed reviews, 5/5 snapshot. Eight recent named accounts examined; outplacement/coaching and résumé results separated. Anonymous and apparent provider-named entries not used as identified independent clients. Directory listing is not SHRM endorsement.</x:v>
      </x:c>
    </x:row>
    <x:row r="121" ht="100" customHeight="1">
      <x:c r="A121" s="15" t="str">
        <x:v>S116</x:v>
      </x:c>
      <x:c r="B121" s="15" t="str">
        <x:v>ABA announcement of 2025 award</x:v>
      </x:c>
      <x:c r="C121" s="15" t="str">
        <x:v>The Writing Guru</x:v>
      </x:c>
      <x:c r="D121" s="15" t="str">
        <x:v>https://www.americanbar.org/news/abanews/aba-news-archives/2025/09/gp-solo-difference-makers-award-winners/</x:v>
      </x:c>
      <x:c r="E121" s="15" t="str">
        <x:v>2026-10-26</x:v>
      </x:c>
      <x:c r="F121" s="15" t="str">
        <x:v>Additional research for final scoring</x:v>
      </x:c>
      <x:c r="G121" s="15" t="str">
        <x:v>Primary awarding-body announcement: Wendi Weiner, service-to-profession recognition. Not an award for best résumé service.</x:v>
      </x:c>
    </x:row>
    <x:row r="122" ht="100" customHeight="1">
      <x:c r="A122" s="15" t="str">
        <x:v>S117</x:v>
      </x:c>
      <x:c r="B122" s="15" t="str">
        <x:v>Current issuer-hosted profile</x:v>
      </x:c>
      <x:c r="C122" s="15" t="str">
        <x:v>Distinctive Career Services</x:v>
      </x:c>
      <x:c r="D122" s="15" t="str">
        <x:v>https://www.thenrwa.org/Sys/PublicProfile/8775749/3660697</x:v>
      </x:c>
      <x:c r="E122" s="15" t="str">
        <x:v>2026-10-26</x:v>
      </x:c>
      <x:c r="F122" s="15" t="str">
        <x:v>Additional research for final scoring</x:v>
      </x:c>
      <x:c r="G122" s="15" t="str">
        <x:v>NCOPE renewal April 2027; NCRW marked yes but renewal field June 2024. Current NCRW renewal remains unresolved, not presumed lapsed.</x:v>
      </x:c>
    </x:row>
    <x:row r="123" ht="100" customHeight="1">
      <x:c r="A123" s="15" t="str">
        <x:v>S118</x:v>
      </x:c>
      <x:c r="B123" s="15" t="str">
        <x:v>Association-hosted professional contribution</x:v>
      </x:c>
      <x:c r="C123" s="15" t="str">
        <x:v>Career Steering</x:v>
      </x:c>
      <x:c r="D123" s="15" t="str">
        <x:v>https://careerdirectors.com/recruiters-call-great-cover-letter/</x:v>
      </x:c>
      <x:c r="E123" s="15" t="str">
        <x:v>2026-10-26</x:v>
      </x:c>
      <x:c r="F123" s="15" t="str">
        <x:v>Additional research for final scoring</x:v>
      </x:c>
      <x:c r="G123" s="15" t="str">
        <x:v>Historical 2015 contribution and author identification. Not proof of current credential renewal.</x:v>
      </x:c>
    </x:row>
    <x:row r="124" ht="100" customHeight="1">
      <x:c r="A124" s="15" t="str">
        <x:v>S119</x:v>
      </x:c>
      <x:c r="B124" s="15" t="str">
        <x:v>Author biography and publication record</x:v>
      </x:c>
      <x:c r="C124" s="15" t="str">
        <x:v>An Expert Resume</x:v>
      </x:c>
      <x:c r="D124" s="15" t="str">
        <x:v>https://www.job-hunt.org/author/lsmith-proulx/</x:v>
      </x:c>
      <x:c r="E124" s="15" t="str">
        <x:v>2026-10-26</x:v>
      </x:c>
      <x:c r="F124" s="15" t="str">
        <x:v>Additional research for final scoring</x:v>
      </x:c>
      <x:c r="G124" s="15" t="str">
        <x:v>Publisher identifies long-term career-writing work and contributions. Historical business dates differ from company branding; no precise founding year asserted in final profile.</x:v>
      </x:c>
    </x:row>
    <x:row r="125" ht="100" customHeight="1">
      <x:c r="A125" s="15" t="str">
        <x:v>S120</x:v>
      </x:c>
      <x:c r="B125" s="15" t="str">
        <x:v>Awarding association announcement of 2014 TORI results</x:v>
      </x:c>
      <x:c r="C125" s="15" t="str">
        <x:v>Career Impressions; An Expert Resume; Career Steering; Distinctive Career Services</x:v>
      </x:c>
      <x:c r="D125" s="15" t="str">
        <x:v>https://www.prweb.com/releases/career_directors_international_announces_2014_winners_of_the_tori_resume_writing_award_competition/prweb12326042.htm</x:v>
      </x:c>
      <x:c r="E125" s="15" t="str">
        <x:v>2026-10-26</x:v>
      </x:c>
      <x:c r="F125" s="15" t="str">
        <x:v>Additional research for final scoring</x:v>
      </x:c>
      <x:c r="G125" s="15" t="str">
        <x:v>Historical primary announcement issued by Career Directors International; awards support professional recognition, not current average delivery or outcomes.</x:v>
      </x:c>
    </x:row>
    <x:row r="126" ht="100" customHeight="1">
      <x:c r="A126" s="15" t="str">
        <x:v>S121</x:v>
      </x:c>
      <x:c r="B126" s="15" t="str">
        <x:v>Founder background and personal delivery</x:v>
      </x:c>
      <x:c r="C126" s="15" t="str">
        <x:v>The Writing Guru</x:v>
      </x:c>
      <x:c r="D126" s="15" t="str">
        <x:v>https://writingguru.net/wendi-weiner/</x:v>
      </x:c>
      <x:c r="E126" s="15" t="str">
        <x:v>2026-10-26</x:v>
      </x:c>
      <x:c r="F126" s="15" t="str">
        <x:v>Additional research for final scoring</x:v>
      </x:c>
      <x:c r="G126" s="15" t="str">
        <x:v>Current company biography; exclusive personal service stated. Claims beyond independently checked records remain company-reported.</x:v>
      </x:c>
    </x:row>
    <x:row r="127" ht="100" customHeight="1">
      <x:c r="A127" s="15" t="str">
        <x:v>S123</x:v>
      </x:c>
      <x:c r="B127" s="15" t="str">
        <x:v>Current writing and recruiting customer reviews</x:v>
      </x:c>
      <x:c r="C127" s="15" t="str">
        <x:v>Find My Profession</x:v>
      </x:c>
      <x:c r="D127" s="15" t="str">
        <x:v>https://www.trustpilot.com/review/www.findmyprofession.com</x:v>
      </x:c>
      <x:c r="E127" s="15" t="str">
        <x:v>2026-10-26</x:v>
      </x:c>
      <x:c r="F127" s="15" t="str">
        <x:v>Additional research for final scoring</x:v>
      </x:c>
      <x:c r="G127" s="15" t="str">
        <x:v>Retrieved October 26; 4.8/785 displayed snapshot. Writing-specific accounts separated from reverse recruiting. No authenticity or complete population audit.</x:v>
      </x:c>
    </x:row>
    <x:row r="128" ht="100" customHeight="1">
      <x:c r="A128" s="15" t="str">
        <x:v>S122</x:v>
      </x:c>
      <x:c r="B128" s="15" t="str">
        <x:v>Founder professional-association profile</x:v>
      </x:c>
      <x:c r="C128" s="15" t="str">
        <x:v>Great Resumes Fast</x:v>
      </x:c>
      <x:c r="D128" s="15" t="str">
        <x:v>https://members.parwcc.com/members/?id=61014155</x:v>
      </x:c>
      <x:c r="E128" s="15" t="str">
        <x:v>2026-10-26</x:v>
      </x:c>
      <x:c r="F128" s="15" t="str">
        <x:v>Additional research for final scoring</x:v>
      </x:c>
      <x:c r="G128" s="15" t="str">
        <x:v>Issuer-hosted profile identifies Jessica Hernandez and listed professional credentials. Not verification of every team writer.</x:v>
      </x:c>
    </x:row>
  </x:sheetData>
  <x:mergeCells>
    <x:mergeCell ref="A1:G1"/>
    <x:mergeCell ref="A2:G3"/>
  </x:mergeCells>
  <x:pageMargins left="0.7" right="0.7" top="0.75" bottom="0.75" header="0.3" footer="0.3"/>
  <x:tableParts count="1">
    <x:tablePart xmlns:r="http://schemas.openxmlformats.org/officeDocument/2006/relationships" r:id="R39b0fef6978b4cad"/>
  </x:tableParts>
</x:worksheet>
</file>

<file path=xl/worksheets/sheet7.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8" hidden="0" customWidth="1"/>
    <x:col min="2" max="2" width="9" hidden="0" customWidth="1"/>
    <x:col min="3" max="3" width="9" hidden="0" customWidth="1"/>
    <x:col min="4" max="4" width="34" hidden="0" customWidth="1"/>
    <x:col min="5" max="5" width="34" hidden="0" customWidth="1"/>
    <x:col min="6" max="6" width="12" hidden="0" customWidth="1"/>
    <x:col min="7" max="7" width="12" hidden="0" customWidth="1"/>
    <x:col min="8" max="8" width="12" hidden="0" customWidth="1"/>
    <x:col min="9" max="9" width="35" hidden="0" customWidth="1"/>
    <x:col min="10" max="10" width="26" hidden="0" customWidth="1"/>
    <x:col min="11" max="11" width="42" hidden="0" customWidth="1"/>
  </x:cols>
  <x:sheetData>
    <x:row r="1" ht="32" customHeight="1">
      <x:c r="A1" s="3" t="str">
        <x:v>ROUND-ROBIN | ALL 300 UNIQUE PAIRS</x:v>
      </x:c>
      <x:c r="B1" s="3"/>
      <x:c r="C1" s="3"/>
      <x:c r="D1" s="3"/>
      <x:c r="E1" s="3"/>
      <x:c r="F1" s="3"/>
      <x:c r="G1" s="3"/>
      <x:c r="H1" s="3"/>
      <x:c r="I1" s="3"/>
      <x:c r="J1" s="3"/>
      <x:c r="K1" s="3"/>
    </x:row>
    <x:row r="2" ht="24" customHeight="1">
      <x:c r="A2" s="8" t="str">
        <x:v>One comparison per pair. These are mathematical comparisons of the same editorial scores, not 300 independent service tests. Gaps below 2 points are close editorial calls.</x:v>
      </x:c>
      <x:c r="B2" s="8"/>
      <x:c r="C2" s="8"/>
      <x:c r="D2" s="8"/>
      <x:c r="E2" s="8"/>
      <x:c r="F2" s="8"/>
      <x:c r="G2" s="8"/>
      <x:c r="H2" s="8"/>
      <x:c r="I2" s="8"/>
      <x:c r="J2" s="8"/>
      <x:c r="K2" s="8"/>
    </x:row>
    <x:row r="3" ht="24" customHeight="1">
      <x:c r="A3" s="8"/>
      <x:c r="B3" s="8"/>
      <x:c r="C3" s="8"/>
      <x:c r="D3" s="8"/>
      <x:c r="E3" s="8"/>
      <x:c r="F3" s="8"/>
      <x:c r="G3" s="8"/>
      <x:c r="H3" s="8"/>
      <x:c r="I3" s="8"/>
      <x:c r="J3" s="8"/>
      <x:c r="K3" s="8"/>
    </x:row>
    <x:row r="5" ht="34" customHeight="1">
      <x:c r="A5" s="12" t="str">
        <x:v>Match</x:v>
      </x:c>
      <x:c r="B5" s="12" t="str">
        <x:v>ID A</x:v>
      </x:c>
      <x:c r="C5" s="12" t="str">
        <x:v>ID B</x:v>
      </x:c>
      <x:c r="D5" s="12" t="str">
        <x:v>Company A</x:v>
      </x:c>
      <x:c r="E5" s="12" t="str">
        <x:v>Company B</x:v>
      </x:c>
      <x:c r="F5" s="12" t="str">
        <x:v>Score A</x:v>
      </x:c>
      <x:c r="G5" s="12" t="str">
        <x:v>Score B</x:v>
      </x:c>
      <x:c r="H5" s="12" t="str">
        <x:v>A minus B</x:v>
      </x:c>
      <x:c r="I5" s="12" t="str">
        <x:v>Result</x:v>
      </x:c>
      <x:c r="J5" s="12" t="str">
        <x:v>Separation</x:v>
      </x:c>
      <x:c r="K5" s="12" t="str">
        <x:v>Source IDs</x:v>
      </x:c>
    </x:row>
    <x:row r="6" ht="64" customHeight="1">
      <x:c r="A6" s="15" t="n">
        <x:v>1</x:v>
      </x:c>
      <x:c r="B6" s="15" t="str">
        <x:v>C09</x:v>
      </x:c>
      <x:c r="C6" s="15" t="str">
        <x:v>C18</x:v>
      </x:c>
      <x:c r="D6" s="15" t="str">
        <x:v>Ivy League Résumés</x:v>
      </x:c>
      <x:c r="E6" s="15" t="str">
        <x:v>Career Impressions</x:v>
      </x:c>
      <x:c r="F6" s="34" t="n">
        <x:f>'Score Inputs'!L14</x:f>
        <x:v>88.25</x:v>
      </x:c>
      <x:c r="G6" s="34" t="n">
        <x:f>'Score Inputs'!L23</x:f>
        <x:v>84.5</x:v>
      </x:c>
      <x:c r="H6" s="34" t="n">
        <x:f>F6-G6</x:f>
        <x:v>3.75</x:v>
      </x:c>
      <x:c r="I6" s="15" t="str">
        <x:f>IF(F6=G6,"Tie",IF(F6&gt;G6,D6,E6))</x:f>
        <x:v>Ivy League Résumés</x:v>
      </x:c>
      <x:c r="J6" s="15" t="str">
        <x:f>IF(H6=0,"Exact score tie",IF(ABS(H6)&lt;2,"Close editorial call","Model preference"))</x:f>
        <x:v>Model preference</x:v>
      </x:c>
      <x:c r="K6" s="15" t="str">
        <x:v>S041 S043 S044 S045 S046 S084 S085 S087 S088 S120</x:v>
      </x:c>
    </x:row>
    <x:row r="7" ht="64" customHeight="1">
      <x:c r="A7" s="15" t="n">
        <x:v>2</x:v>
      </x:c>
      <x:c r="B7" s="15" t="str">
        <x:v>C09</x:v>
      </x:c>
      <x:c r="C7" s="15" t="str">
        <x:v>C15</x:v>
      </x:c>
      <x:c r="D7" s="15" t="str">
        <x:v>Ivy League Résumés</x:v>
      </x:c>
      <x:c r="E7" s="15" t="str">
        <x:v>An Expert Resume</x:v>
      </x:c>
      <x:c r="F7" s="34" t="n">
        <x:f>'Score Inputs'!L14</x:f>
        <x:v>88.25</x:v>
      </x:c>
      <x:c r="G7" s="34" t="n">
        <x:f>'Score Inputs'!L20</x:f>
        <x:v>84.25</x:v>
      </x:c>
      <x:c r="H7" s="34" t="n">
        <x:f>F7-G7</x:f>
        <x:v>4</x:v>
      </x:c>
      <x:c r="I7" s="15" t="str">
        <x:f>IF(F7=G7,"Tie",IF(F7&gt;G7,D7,E7))</x:f>
        <x:v>Ivy League Résumés</x:v>
      </x:c>
      <x:c r="J7" s="15" t="str">
        <x:f>IF(H7=0,"Exact score tie",IF(ABS(H7)&lt;2,"Close editorial call","Model preference"))</x:f>
        <x:v>Model preference</x:v>
      </x:c>
      <x:c r="K7" s="15" t="str">
        <x:v>S041 S043 S044 S045 S046 S071 S072 S073 S119 S120</x:v>
      </x:c>
    </x:row>
    <x:row r="8" ht="64" customHeight="1">
      <x:c r="A8" s="15" t="n">
        <x:v>3</x:v>
      </x:c>
      <x:c r="B8" s="15" t="str">
        <x:v>C09</x:v>
      </x:c>
      <x:c r="C8" s="15" t="str">
        <x:v>C13</x:v>
      </x:c>
      <x:c r="D8" s="15" t="str">
        <x:v>Ivy League Résumés</x:v>
      </x:c>
      <x:c r="E8" s="15" t="str">
        <x:v>Distinctive Career Services</x:v>
      </x:c>
      <x:c r="F8" s="34" t="n">
        <x:f>'Score Inputs'!L14</x:f>
        <x:v>88.25</x:v>
      </x:c>
      <x:c r="G8" s="34" t="n">
        <x:f>'Score Inputs'!L18</x:f>
        <x:v>82.75</x:v>
      </x:c>
      <x:c r="H8" s="34" t="n">
        <x:f>F8-G8</x:f>
        <x:v>5.5</x:v>
      </x:c>
      <x:c r="I8" s="15" t="str">
        <x:f>IF(F8=G8,"Tie",IF(F8&gt;G8,D8,E8))</x:f>
        <x:v>Ivy League Résumés</x:v>
      </x:c>
      <x:c r="J8" s="15" t="str">
        <x:f>IF(H8=0,"Exact score tie",IF(ABS(H8)&lt;2,"Close editorial call","Model preference"))</x:f>
        <x:v>Model preference</x:v>
      </x:c>
      <x:c r="K8" s="15" t="str">
        <x:v>S041 S043 S044 S045 S046 S060 S061 S062 S063 S064 S066 S117 S120</x:v>
      </x:c>
    </x:row>
    <x:row r="9" ht="64" customHeight="1">
      <x:c r="A9" s="15" t="n">
        <x:v>4</x:v>
      </x:c>
      <x:c r="B9" s="15" t="str">
        <x:v>C09</x:v>
      </x:c>
      <x:c r="C9" s="15" t="str">
        <x:v>C17</x:v>
      </x:c>
      <x:c r="D9" s="15" t="str">
        <x:v>Ivy League Résumés</x:v>
      </x:c>
      <x:c r="E9" s="15" t="str">
        <x:v>The Writing Guru</x:v>
      </x:c>
      <x:c r="F9" s="34" t="n">
        <x:f>'Score Inputs'!L14</x:f>
        <x:v>88.25</x:v>
      </x:c>
      <x:c r="G9" s="34" t="n">
        <x:f>'Score Inputs'!L22</x:f>
        <x:v>82.5</x:v>
      </x:c>
      <x:c r="H9" s="34" t="n">
        <x:f>F9-G9</x:f>
        <x:v>5.75</x:v>
      </x:c>
      <x:c r="I9" s="15" t="str">
        <x:f>IF(F9=G9,"Tie",IF(F9&gt;G9,D9,E9))</x:f>
        <x:v>Ivy League Résumés</x:v>
      </x:c>
      <x:c r="J9" s="15" t="str">
        <x:f>IF(H9=0,"Exact score tie",IF(ABS(H9)&lt;2,"Close editorial call","Model preference"))</x:f>
        <x:v>Model preference</x:v>
      </x:c>
      <x:c r="K9" s="15" t="str">
        <x:v>S041 S043 S044 S045 S046 S079 S080 S082 S083 S116 S121</x:v>
      </x:c>
    </x:row>
    <x:row r="10" ht="64" customHeight="1">
      <x:c r="A10" s="15" t="n">
        <x:v>5</x:v>
      </x:c>
      <x:c r="B10" s="15" t="str">
        <x:v>C09</x:v>
      </x:c>
      <x:c r="C10" s="15" t="str">
        <x:v>C20</x:v>
      </x:c>
      <x:c r="D10" s="15" t="str">
        <x:v>Ivy League Résumés</x:v>
      </x:c>
      <x:c r="E10" s="15" t="str">
        <x:v>Career Steering</x:v>
      </x:c>
      <x:c r="F10" s="34" t="n">
        <x:f>'Score Inputs'!L14</x:f>
        <x:v>88.25</x:v>
      </x:c>
      <x:c r="G10" s="34" t="n">
        <x:f>'Score Inputs'!L25</x:f>
        <x:v>82.25</x:v>
      </x:c>
      <x:c r="H10" s="34" t="n">
        <x:f>F10-G10</x:f>
        <x:v>6</x:v>
      </x:c>
      <x:c r="I10" s="15" t="str">
        <x:f>IF(F10=G10,"Tie",IF(F10&gt;G10,D10,E10))</x:f>
        <x:v>Ivy League Résumés</x:v>
      </x:c>
      <x:c r="J10" s="15" t="str">
        <x:f>IF(H10=0,"Exact score tie",IF(ABS(H10)&lt;2,"Close editorial call","Model preference"))</x:f>
        <x:v>Model preference</x:v>
      </x:c>
      <x:c r="K10" s="15" t="str">
        <x:v>S041 S043 S044 S045 S046 S093 S118 S120</x:v>
      </x:c>
    </x:row>
    <x:row r="11" ht="64" customHeight="1">
      <x:c r="A11" s="15" t="n">
        <x:v>6</x:v>
      </x:c>
      <x:c r="B11" s="15" t="str">
        <x:v>C09</x:v>
      </x:c>
      <x:c r="C11" s="15" t="str">
        <x:v>C05</x:v>
      </x:c>
      <x:c r="D11" s="15" t="str">
        <x:v>Ivy League Résumés</x:v>
      </x:c>
      <x:c r="E11" s="15" t="str">
        <x:v>ResumeSpice</x:v>
      </x:c>
      <x:c r="F11" s="34" t="n">
        <x:f>'Score Inputs'!L14</x:f>
        <x:v>88.25</x:v>
      </x:c>
      <x:c r="G11" s="34" t="n">
        <x:f>'Score Inputs'!L10</x:f>
        <x:v>82</x:v>
      </x:c>
      <x:c r="H11" s="34" t="n">
        <x:f>F11-G11</x:f>
        <x:v>6.25</x:v>
      </x:c>
      <x:c r="I11" s="15" t="str">
        <x:f>IF(F11=G11,"Tie",IF(F11&gt;G11,D11,E11))</x:f>
        <x:v>Ivy League Résumés</x:v>
      </x:c>
      <x:c r="J11" s="15" t="str">
        <x:f>IF(H11=0,"Exact score tie",IF(ABS(H11)&lt;2,"Close editorial call","Model preference"))</x:f>
        <x:v>Model preference</x:v>
      </x:c>
      <x:c r="K11" s="15" t="str">
        <x:v>S020 S021 S022 S023 S024 S041 S043 S044 S045 S046</x:v>
      </x:c>
    </x:row>
    <x:row r="12" ht="64" customHeight="1">
      <x:c r="A12" s="15" t="n">
        <x:v>7</x:v>
      </x:c>
      <x:c r="B12" s="15" t="str">
        <x:v>C09</x:v>
      </x:c>
      <x:c r="C12" s="15" t="str">
        <x:v>C02</x:v>
      </x:c>
      <x:c r="D12" s="15" t="str">
        <x:v>Ivy League Résumés</x:v>
      </x:c>
      <x:c r="E12" s="15" t="str">
        <x:v>Find My Profession</x:v>
      </x:c>
      <x:c r="F12" s="34" t="n">
        <x:f>'Score Inputs'!L14</x:f>
        <x:v>88.25</x:v>
      </x:c>
      <x:c r="G12" s="34" t="n">
        <x:f>'Score Inputs'!L7</x:f>
        <x:v>80.75</x:v>
      </x:c>
      <x:c r="H12" s="34" t="n">
        <x:f>F12-G12</x:f>
        <x:v>7.5</x:v>
      </x:c>
      <x:c r="I12" s="15" t="str">
        <x:f>IF(F12=G12,"Tie",IF(F12&gt;G12,D12,E12))</x:f>
        <x:v>Ivy League Résumés</x:v>
      </x:c>
      <x:c r="J12" s="15" t="str">
        <x:f>IF(H12=0,"Exact score tie",IF(ABS(H12)&lt;2,"Close editorial call","Model preference"))</x:f>
        <x:v>Model preference</x:v>
      </x:c>
      <x:c r="K12" s="15" t="str">
        <x:v>S005 S007 S008 S009 S041 S043 S044 S045 S046 S123</x:v>
      </x:c>
    </x:row>
    <x:row r="13" ht="64" customHeight="1">
      <x:c r="A13" s="15" t="n">
        <x:v>8</x:v>
      </x:c>
      <x:c r="B13" s="15" t="str">
        <x:v>C09</x:v>
      </x:c>
      <x:c r="C13" s="15" t="str">
        <x:v>C25</x:v>
      </x:c>
      <x:c r="D13" s="15" t="str">
        <x:v>Ivy League Résumés</x:v>
      </x:c>
      <x:c r="E13" s="15" t="str">
        <x:v>Employment BOOST</x:v>
      </x:c>
      <x:c r="F13" s="34" t="n">
        <x:f>'Score Inputs'!L14</x:f>
        <x:v>88.25</x:v>
      </x:c>
      <x:c r="G13" s="34" t="n">
        <x:f>'Score Inputs'!L30</x:f>
        <x:v>80.5</x:v>
      </x:c>
      <x:c r="H13" s="34" t="n">
        <x:f>F13-G13</x:f>
        <x:v>7.75</x:v>
      </x:c>
      <x:c r="I13" s="15" t="str">
        <x:f>IF(F13=G13,"Tie",IF(F13&gt;G13,D13,E13))</x:f>
        <x:v>Ivy League Résumés</x:v>
      </x:c>
      <x:c r="J13" s="15" t="str">
        <x:f>IF(H13=0,"Exact score tie",IF(ABS(H13)&lt;2,"Close editorial call","Model preference"))</x:f>
        <x:v>Model preference</x:v>
      </x:c>
      <x:c r="K13" s="15" t="str">
        <x:v>S041 S043 S044 S045 S046 S105 S106 S107 S115</x:v>
      </x:c>
    </x:row>
    <x:row r="14" ht="64" customHeight="1">
      <x:c r="A14" s="15" t="n">
        <x:v>9</x:v>
      </x:c>
      <x:c r="B14" s="15" t="str">
        <x:v>C09</x:v>
      </x:c>
      <x:c r="C14" s="15" t="str">
        <x:v>C10</x:v>
      </x:c>
      <x:c r="D14" s="15" t="str">
        <x:v>Ivy League Résumés</x:v>
      </x:c>
      <x:c r="E14" s="15" t="str">
        <x:v>JobStars USA</x:v>
      </x:c>
      <x:c r="F14" s="34" t="n">
        <x:f>'Score Inputs'!L14</x:f>
        <x:v>88.25</x:v>
      </x:c>
      <x:c r="G14" s="34" t="n">
        <x:f>'Score Inputs'!L15</x:f>
        <x:v>80.5</x:v>
      </x:c>
      <x:c r="H14" s="34" t="n">
        <x:f>F14-G14</x:f>
        <x:v>7.75</x:v>
      </x:c>
      <x:c r="I14" s="15" t="str">
        <x:f>IF(F14=G14,"Tie",IF(F14&gt;G14,D14,E14))</x:f>
        <x:v>Ivy League Résumés</x:v>
      </x:c>
      <x:c r="J14" s="15" t="str">
        <x:f>IF(H14=0,"Exact score tie",IF(ABS(H14)&lt;2,"Close editorial call","Model preference"))</x:f>
        <x:v>Model preference</x:v>
      </x:c>
      <x:c r="K14" s="15" t="str">
        <x:v>S041 S043 S044 S045 S046 S047 S048 S049 S050</x:v>
      </x:c>
    </x:row>
    <x:row r="15" ht="64" customHeight="1">
      <x:c r="A15" s="15" t="n">
        <x:v>10</x:v>
      </x:c>
      <x:c r="B15" s="15" t="str">
        <x:v>C09</x:v>
      </x:c>
      <x:c r="C15" s="15" t="str">
        <x:v>C06</x:v>
      </x:c>
      <x:c r="D15" s="15" t="str">
        <x:v>Ivy League Résumés</x:v>
      </x:c>
      <x:c r="E15" s="15" t="str">
        <x:v>Great Resumes Fast</x:v>
      </x:c>
      <x:c r="F15" s="34" t="n">
        <x:f>'Score Inputs'!L14</x:f>
        <x:v>88.25</x:v>
      </x:c>
      <x:c r="G15" s="34" t="n">
        <x:f>'Score Inputs'!L11</x:f>
        <x:v>80.5</x:v>
      </x:c>
      <x:c r="H15" s="34" t="n">
        <x:f>F15-G15</x:f>
        <x:v>7.75</x:v>
      </x:c>
      <x:c r="I15" s="15" t="str">
        <x:f>IF(F15=G15,"Tie",IF(F15&gt;G15,D15,E15))</x:f>
        <x:v>Ivy League Résumés</x:v>
      </x:c>
      <x:c r="J15" s="15" t="str">
        <x:f>IF(H15=0,"Exact score tie",IF(ABS(H15)&lt;2,"Close editorial call","Model preference"))</x:f>
        <x:v>Model preference</x:v>
      </x:c>
      <x:c r="K15" s="15" t="str">
        <x:v>S025 S026 S027 S028 S041 S043 S044 S045 S046 S122</x:v>
      </x:c>
    </x:row>
    <x:row r="16" ht="64" customHeight="1">
      <x:c r="A16" s="15" t="n">
        <x:v>11</x:v>
      </x:c>
      <x:c r="B16" s="15" t="str">
        <x:v>C09</x:v>
      </x:c>
      <x:c r="C16" s="15" t="str">
        <x:v>C12</x:v>
      </x:c>
      <x:c r="D16" s="15" t="str">
        <x:v>Ivy League Résumés</x:v>
      </x:c>
      <x:c r="E16" s="15" t="str">
        <x:v>iCareerSolutions</x:v>
      </x:c>
      <x:c r="F16" s="34" t="n">
        <x:f>'Score Inputs'!L14</x:f>
        <x:v>88.25</x:v>
      </x:c>
      <x:c r="G16" s="34" t="n">
        <x:f>'Score Inputs'!L17</x:f>
        <x:v>80.5</x:v>
      </x:c>
      <x:c r="H16" s="34" t="n">
        <x:f>F16-G16</x:f>
        <x:v>7.75</x:v>
      </x:c>
      <x:c r="I16" s="15" t="str">
        <x:f>IF(F16=G16,"Tie",IF(F16&gt;G16,D16,E16))</x:f>
        <x:v>Ivy League Résumés</x:v>
      </x:c>
      <x:c r="J16" s="15" t="str">
        <x:f>IF(H16=0,"Exact score tie",IF(ABS(H16)&lt;2,"Close editorial call","Model preference"))</x:f>
        <x:v>Model preference</x:v>
      </x:c>
      <x:c r="K16" s="15" t="str">
        <x:v>S041 S043 S044 S045 S046 S055 S056 S057 S058 S059</x:v>
      </x:c>
    </x:row>
    <x:row r="17" ht="64" customHeight="1">
      <x:c r="A17" s="15" t="n">
        <x:v>12</x:v>
      </x:c>
      <x:c r="B17" s="15" t="str">
        <x:v>C09</x:v>
      </x:c>
      <x:c r="C17" s="15" t="str">
        <x:v>C01</x:v>
      </x:c>
      <x:c r="D17" s="15" t="str">
        <x:v>Ivy League Résumés</x:v>
      </x:c>
      <x:c r="E17" s="15" t="str">
        <x:v>Let’s Eat, Grandma</x:v>
      </x:c>
      <x:c r="F17" s="34" t="n">
        <x:f>'Score Inputs'!L14</x:f>
        <x:v>88.25</x:v>
      </x:c>
      <x:c r="G17" s="34" t="n">
        <x:f>'Score Inputs'!L6</x:f>
        <x:v>80.25</x:v>
      </x:c>
      <x:c r="H17" s="34" t="n">
        <x:f>F17-G17</x:f>
        <x:v>8</x:v>
      </x:c>
      <x:c r="I17" s="15" t="str">
        <x:f>IF(F17=G17,"Tie",IF(F17&gt;G17,D17,E17))</x:f>
        <x:v>Ivy League Résumés</x:v>
      </x:c>
      <x:c r="J17" s="15" t="str">
        <x:f>IF(H17=0,"Exact score tie",IF(ABS(H17)&lt;2,"Close editorial call","Model preference"))</x:f>
        <x:v>Model preference</x:v>
      </x:c>
      <x:c r="K17" s="15" t="str">
        <x:v>S001 S002 S003 S004 S041 S043 S044 S045 S046</x:v>
      </x:c>
    </x:row>
    <x:row r="18" ht="64" customHeight="1">
      <x:c r="A18" s="15" t="n">
        <x:v>13</x:v>
      </x:c>
      <x:c r="B18" s="15" t="str">
        <x:v>C09</x:v>
      </x:c>
      <x:c r="C18" s="15" t="str">
        <x:v>C22</x:v>
      </x:c>
      <x:c r="D18" s="15" t="str">
        <x:v>Ivy League Résumés</x:v>
      </x:c>
      <x:c r="E18" s="15" t="str">
        <x:v>Briefcase Coach</x:v>
      </x:c>
      <x:c r="F18" s="34" t="n">
        <x:f>'Score Inputs'!L14</x:f>
        <x:v>88.25</x:v>
      </x:c>
      <x:c r="G18" s="34" t="n">
        <x:f>'Score Inputs'!L27</x:f>
        <x:v>79.25</x:v>
      </x:c>
      <x:c r="H18" s="34" t="n">
        <x:f>F18-G18</x:f>
        <x:v>9</x:v>
      </x:c>
      <x:c r="I18" s="15" t="str">
        <x:f>IF(F18=G18,"Tie",IF(F18&gt;G18,D18,E18))</x:f>
        <x:v>Ivy League Résumés</x:v>
      </x:c>
      <x:c r="J18" s="15" t="str">
        <x:f>IF(H18=0,"Exact score tie",IF(ABS(H18)&lt;2,"Close editorial call","Model preference"))</x:f>
        <x:v>Model preference</x:v>
      </x:c>
      <x:c r="K18" s="15" t="str">
        <x:v>S041 S043 S044 S045 S046 S097 S098 S109 S110</x:v>
      </x:c>
    </x:row>
    <x:row r="19" ht="64" customHeight="1">
      <x:c r="A19" s="15" t="n">
        <x:v>14</x:v>
      </x:c>
      <x:c r="B19" s="15" t="str">
        <x:v>C09</x:v>
      </x:c>
      <x:c r="C19" s="15" t="str">
        <x:v>C21</x:v>
      </x:c>
      <x:c r="D19" s="15" t="str">
        <x:v>Ivy League Résumés</x:v>
      </x:c>
      <x:c r="E19" s="15" t="str">
        <x:v>Blue Sky Resumes</x:v>
      </x:c>
      <x:c r="F19" s="34" t="n">
        <x:f>'Score Inputs'!L14</x:f>
        <x:v>88.25</x:v>
      </x:c>
      <x:c r="G19" s="34" t="n">
        <x:f>'Score Inputs'!L26</x:f>
        <x:v>79.25</x:v>
      </x:c>
      <x:c r="H19" s="34" t="n">
        <x:f>F19-G19</x:f>
        <x:v>9</x:v>
      </x:c>
      <x:c r="I19" s="15" t="str">
        <x:f>IF(F19=G19,"Tie",IF(F19&gt;G19,D19,E19))</x:f>
        <x:v>Ivy League Résumés</x:v>
      </x:c>
      <x:c r="J19" s="15" t="str">
        <x:f>IF(H19=0,"Exact score tie",IF(ABS(H19)&lt;2,"Close editorial call","Model preference"))</x:f>
        <x:v>Model preference</x:v>
      </x:c>
      <x:c r="K19" s="15" t="str">
        <x:v>S041 S043 S044 S045 S046 S095 S096 S111 S112</x:v>
      </x:c>
    </x:row>
    <x:row r="20" ht="64" customHeight="1">
      <x:c r="A20" s="15" t="n">
        <x:v>15</x:v>
      </x:c>
      <x:c r="B20" s="15" t="str">
        <x:v>C09</x:v>
      </x:c>
      <x:c r="C20" s="15" t="str">
        <x:v>C19</x:v>
      </x:c>
      <x:c r="D20" s="15" t="str">
        <x:v>Ivy League Résumés</x:v>
      </x:c>
      <x:c r="E20" s="15" t="str">
        <x:v>CareerProPlus / CareerPro Global</x:v>
      </x:c>
      <x:c r="F20" s="34" t="n">
        <x:f>'Score Inputs'!L14</x:f>
        <x:v>88.25</x:v>
      </x:c>
      <x:c r="G20" s="34" t="n">
        <x:f>'Score Inputs'!L24</x:f>
        <x:v>77.5</x:v>
      </x:c>
      <x:c r="H20" s="34" t="n">
        <x:f>F20-G20</x:f>
        <x:v>10.75</x:v>
      </x:c>
      <x:c r="I20" s="15" t="str">
        <x:f>IF(F20=G20,"Tie",IF(F20&gt;G20,D20,E20))</x:f>
        <x:v>Ivy League Résumés</x:v>
      </x:c>
      <x:c r="J20" s="15" t="str">
        <x:f>IF(H20=0,"Exact score tie",IF(ABS(H20)&lt;2,"Close editorial call","Model preference"))</x:f>
        <x:v>Model preference</x:v>
      </x:c>
      <x:c r="K20" s="15" t="str">
        <x:v>S041 S043 S044 S045 S046 S089 S090 S091 S092</x:v>
      </x:c>
    </x:row>
    <x:row r="21" ht="64" customHeight="1">
      <x:c r="A21" s="15" t="n">
        <x:v>16</x:v>
      </x:c>
      <x:c r="B21" s="15" t="str">
        <x:v>C09</x:v>
      </x:c>
      <x:c r="C21" s="15" t="str">
        <x:v>C24</x:v>
      </x:c>
      <x:c r="D21" s="15" t="str">
        <x:v>Ivy League Résumés</x:v>
      </x:c>
      <x:c r="E21" s="15" t="str">
        <x:v>Scientech Resumes / Scientech Career Systems</x:v>
      </x:c>
      <x:c r="F21" s="34" t="n">
        <x:f>'Score Inputs'!L14</x:f>
        <x:v>88.25</x:v>
      </x:c>
      <x:c r="G21" s="34" t="n">
        <x:f>'Score Inputs'!L29</x:f>
        <x:v>77.25</x:v>
      </x:c>
      <x:c r="H21" s="34" t="n">
        <x:f>F21-G21</x:f>
        <x:v>11</x:v>
      </x:c>
      <x:c r="I21" s="15" t="str">
        <x:f>IF(F21=G21,"Tie",IF(F21&gt;G21,D21,E21))</x:f>
        <x:v>Ivy League Résumés</x:v>
      </x:c>
      <x:c r="J21" s="15" t="str">
        <x:f>IF(H21=0,"Exact score tie",IF(ABS(H21)&lt;2,"Close editorial call","Model preference"))</x:f>
        <x:v>Model preference</x:v>
      </x:c>
      <x:c r="K21" s="15" t="str">
        <x:v>S041 S043 S044 S045 S046 S102 S104 S113 S114</x:v>
      </x:c>
    </x:row>
    <x:row r="22" ht="64" customHeight="1">
      <x:c r="A22" s="15" t="n">
        <x:v>17</x:v>
      </x:c>
      <x:c r="B22" s="15" t="str">
        <x:v>C09</x:v>
      </x:c>
      <x:c r="C22" s="15" t="str">
        <x:v>C03</x:v>
      </x:c>
      <x:c r="D22" s="15" t="str">
        <x:v>Ivy League Résumés</x:v>
      </x:c>
      <x:c r="E22" s="15" t="str">
        <x:v>TopStack Resume</x:v>
      </x:c>
      <x:c r="F22" s="34" t="n">
        <x:f>'Score Inputs'!L14</x:f>
        <x:v>88.25</x:v>
      </x:c>
      <x:c r="G22" s="34" t="n">
        <x:f>'Score Inputs'!L8</x:f>
        <x:v>76.75</x:v>
      </x:c>
      <x:c r="H22" s="34" t="n">
        <x:f>F22-G22</x:f>
        <x:v>11.5</x:v>
      </x:c>
      <x:c r="I22" s="15" t="str">
        <x:f>IF(F22=G22,"Tie",IF(F22&gt;G22,D22,E22))</x:f>
        <x:v>Ivy League Résumés</x:v>
      </x:c>
      <x:c r="J22" s="15" t="str">
        <x:f>IF(H22=0,"Exact score tie",IF(ABS(H22)&lt;2,"Close editorial call","Model preference"))</x:f>
        <x:v>Model preference</x:v>
      </x:c>
      <x:c r="K22" s="15" t="str">
        <x:v>S010 S011 S012 S013 S041 S043 S044 S045 S046 S108</x:v>
      </x:c>
    </x:row>
    <x:row r="23" ht="64" customHeight="1">
      <x:c r="A23" s="15" t="n">
        <x:v>18</x:v>
      </x:c>
      <x:c r="B23" s="15" t="str">
        <x:v>C09</x:v>
      </x:c>
      <x:c r="C23" s="15" t="str">
        <x:v>C08</x:v>
      </x:c>
      <x:c r="D23" s="15" t="str">
        <x:v>Ivy League Résumés</x:v>
      </x:c>
      <x:c r="E23" s="15" t="str">
        <x:v>The Resume Place</x:v>
      </x:c>
      <x:c r="F23" s="34" t="n">
        <x:f>'Score Inputs'!L14</x:f>
        <x:v>88.25</x:v>
      </x:c>
      <x:c r="G23" s="34" t="n">
        <x:f>'Score Inputs'!L13</x:f>
        <x:v>76.75</x:v>
      </x:c>
      <x:c r="H23" s="34" t="n">
        <x:f>F23-G23</x:f>
        <x:v>11.5</x:v>
      </x:c>
      <x:c r="I23" s="15" t="str">
        <x:f>IF(F23=G23,"Tie",IF(F23&gt;G23,D23,E23))</x:f>
        <x:v>Ivy League Résumés</x:v>
      </x:c>
      <x:c r="J23" s="15" t="str">
        <x:f>IF(H23=0,"Exact score tie",IF(ABS(H23)&lt;2,"Close editorial call","Model preference"))</x:f>
        <x:v>Model preference</x:v>
      </x:c>
      <x:c r="K23" s="15" t="str">
        <x:v>S037 S038 S039 S040 S041 S043 S044 S045 S046 S066</x:v>
      </x:c>
    </x:row>
    <x:row r="24" ht="64" customHeight="1">
      <x:c r="A24" s="15" t="n">
        <x:v>19</x:v>
      </x:c>
      <x:c r="B24" s="15" t="str">
        <x:v>C09</x:v>
      </x:c>
      <x:c r="C24" s="15" t="str">
        <x:v>C23</x:v>
      </x:c>
      <x:c r="D24" s="15" t="str">
        <x:v>Ivy League Résumés</x:v>
      </x:c>
      <x:c r="E24" s="15" t="str">
        <x:v>Klaxos</x:v>
      </x:c>
      <x:c r="F24" s="34" t="n">
        <x:f>'Score Inputs'!L14</x:f>
        <x:v>88.25</x:v>
      </x:c>
      <x:c r="G24" s="34" t="n">
        <x:f>'Score Inputs'!L28</x:f>
        <x:v>75.75</x:v>
      </x:c>
      <x:c r="H24" s="34" t="n">
        <x:f>F24-G24</x:f>
        <x:v>12.5</x:v>
      </x:c>
      <x:c r="I24" s="15" t="str">
        <x:f>IF(F24=G24,"Tie",IF(F24&gt;G24,D24,E24))</x:f>
        <x:v>Ivy League Résumés</x:v>
      </x:c>
      <x:c r="J24" s="15" t="str">
        <x:f>IF(H24=0,"Exact score tie",IF(ABS(H24)&lt;2,"Close editorial call","Model preference"))</x:f>
        <x:v>Model preference</x:v>
      </x:c>
      <x:c r="K24" s="15" t="str">
        <x:v>S041 S043 S044 S045 S046 S099 S100 S101</x:v>
      </x:c>
    </x:row>
    <x:row r="25" ht="64" customHeight="1">
      <x:c r="A25" s="15" t="n">
        <x:v>20</x:v>
      </x:c>
      <x:c r="B25" s="15" t="str">
        <x:v>C09</x:v>
      </x:c>
      <x:c r="C25" s="15" t="str">
        <x:v>C04</x:v>
      </x:c>
      <x:c r="D25" s="15" t="str">
        <x:v>Ivy League Résumés</x:v>
      </x:c>
      <x:c r="E25" s="15" t="str">
        <x:v>Resumeble</x:v>
      </x:c>
      <x:c r="F25" s="34" t="n">
        <x:f>'Score Inputs'!L14</x:f>
        <x:v>88.25</x:v>
      </x:c>
      <x:c r="G25" s="34" t="n">
        <x:f>'Score Inputs'!L9</x:f>
        <x:v>74.5</x:v>
      </x:c>
      <x:c r="H25" s="34" t="n">
        <x:f>F25-G25</x:f>
        <x:v>13.75</x:v>
      </x:c>
      <x:c r="I25" s="15" t="str">
        <x:f>IF(F25=G25,"Tie",IF(F25&gt;G25,D25,E25))</x:f>
        <x:v>Ivy League Résumés</x:v>
      </x:c>
      <x:c r="J25" s="15" t="str">
        <x:f>IF(H25=0,"Exact score tie",IF(ABS(H25)&lt;2,"Close editorial call","Model preference"))</x:f>
        <x:v>Model preference</x:v>
      </x:c>
      <x:c r="K25" s="15" t="str">
        <x:v>S014 S015 S016 S017 S018 S019 S041 S043 S044 S045 S046</x:v>
      </x:c>
    </x:row>
    <x:row r="26" ht="64" customHeight="1">
      <x:c r="A26" s="15" t="n">
        <x:v>21</x:v>
      </x:c>
      <x:c r="B26" s="15" t="str">
        <x:v>C09</x:v>
      </x:c>
      <x:c r="C26" s="15" t="str">
        <x:v>C16</x:v>
      </x:c>
      <x:c r="D26" s="15" t="str">
        <x:v>Ivy League Résumés</x:v>
      </x:c>
      <x:c r="E26" s="15" t="str">
        <x:v>Resume Target</x:v>
      </x:c>
      <x:c r="F26" s="34" t="n">
        <x:f>'Score Inputs'!L14</x:f>
        <x:v>88.25</x:v>
      </x:c>
      <x:c r="G26" s="34" t="n">
        <x:f>'Score Inputs'!L21</x:f>
        <x:v>74.5</x:v>
      </x:c>
      <x:c r="H26" s="34" t="n">
        <x:f>F26-G26</x:f>
        <x:v>13.75</x:v>
      </x:c>
      <x:c r="I26" s="15" t="str">
        <x:f>IF(F26=G26,"Tie",IF(F26&gt;G26,D26,E26))</x:f>
        <x:v>Ivy League Résumés</x:v>
      </x:c>
      <x:c r="J26" s="15" t="str">
        <x:f>IF(H26=0,"Exact score tie",IF(ABS(H26)&lt;2,"Close editorial call","Model preference"))</x:f>
        <x:v>Model preference</x:v>
      </x:c>
      <x:c r="K26" s="15" t="str">
        <x:v>S041 S043 S044 S045 S046 S075 S076 S077 S078</x:v>
      </x:c>
    </x:row>
    <x:row r="27" ht="64" customHeight="1">
      <x:c r="A27" s="15" t="n">
        <x:v>22</x:v>
      </x:c>
      <x:c r="B27" s="15" t="str">
        <x:v>C09</x:v>
      </x:c>
      <x:c r="C27" s="15" t="str">
        <x:v>C11</x:v>
      </x:c>
      <x:c r="D27" s="15" t="str">
        <x:v>Ivy League Résumés</x:v>
      </x:c>
      <x:c r="E27" s="15" t="str">
        <x:v>Resume Professional Writers</x:v>
      </x:c>
      <x:c r="F27" s="34" t="n">
        <x:f>'Score Inputs'!L14</x:f>
        <x:v>88.25</x:v>
      </x:c>
      <x:c r="G27" s="34" t="n">
        <x:f>'Score Inputs'!L16</x:f>
        <x:v>65.75</x:v>
      </x:c>
      <x:c r="H27" s="34" t="n">
        <x:f>F27-G27</x:f>
        <x:v>22.5</x:v>
      </x:c>
      <x:c r="I27" s="15" t="str">
        <x:f>IF(F27=G27,"Tie",IF(F27&gt;G27,D27,E27))</x:f>
        <x:v>Ivy League Résumés</x:v>
      </x:c>
      <x:c r="J27" s="15" t="str">
        <x:f>IF(H27=0,"Exact score tie",IF(ABS(H27)&lt;2,"Close editorial call","Model preference"))</x:f>
        <x:v>Model preference</x:v>
      </x:c>
      <x:c r="K27" s="15" t="str">
        <x:v>S041 S043 S044 S045 S046 S051 S052 S053 S054</x:v>
      </x:c>
    </x:row>
    <x:row r="28" ht="64" customHeight="1">
      <x:c r="A28" s="15" t="n">
        <x:v>23</x:v>
      </x:c>
      <x:c r="B28" s="15" t="str">
        <x:v>C09</x:v>
      </x:c>
      <x:c r="C28" s="15" t="str">
        <x:v>C07</x:v>
      </x:c>
      <x:c r="D28" s="15" t="str">
        <x:v>Ivy League Résumés</x:v>
      </x:c>
      <x:c r="E28" s="15" t="str">
        <x:v>TopResume</x:v>
      </x:c>
      <x:c r="F28" s="34" t="n">
        <x:f>'Score Inputs'!L14</x:f>
        <x:v>88.25</x:v>
      </x:c>
      <x:c r="G28" s="34" t="n">
        <x:f>'Score Inputs'!L12</x:f>
        <x:v>62.75</x:v>
      </x:c>
      <x:c r="H28" s="34" t="n">
        <x:f>F28-G28</x:f>
        <x:v>25.5</x:v>
      </x:c>
      <x:c r="I28" s="15" t="str">
        <x:f>IF(F28=G28,"Tie",IF(F28&gt;G28,D28,E28))</x:f>
        <x:v>Ivy League Résumés</x:v>
      </x:c>
      <x:c r="J28" s="15" t="str">
        <x:f>IF(H28=0,"Exact score tie",IF(ABS(H28)&lt;2,"Close editorial call","Model preference"))</x:f>
        <x:v>Model preference</x:v>
      </x:c>
      <x:c r="K28" s="15" t="str">
        <x:v>S029 S030 S031 S032 S034 S035 S036 S041 S043 S044 S045 S046</x:v>
      </x:c>
    </x:row>
    <x:row r="29" ht="64" customHeight="1">
      <x:c r="A29" s="15" t="n">
        <x:v>24</x:v>
      </x:c>
      <x:c r="B29" s="15" t="str">
        <x:v>C09</x:v>
      </x:c>
      <x:c r="C29" s="15" t="str">
        <x:v>C14</x:v>
      </x:c>
      <x:c r="D29" s="15" t="str">
        <x:v>Ivy League Résumés</x:v>
      </x:c>
      <x:c r="E29" s="15" t="str">
        <x:v>Resume Writing Group</x:v>
      </x:c>
      <x:c r="F29" s="34" t="n">
        <x:f>'Score Inputs'!L14</x:f>
        <x:v>88.25</x:v>
      </x:c>
      <x:c r="G29" s="34" t="n">
        <x:f>'Score Inputs'!L19</x:f>
        <x:v>59.75</x:v>
      </x:c>
      <x:c r="H29" s="34" t="n">
        <x:f>F29-G29</x:f>
        <x:v>28.5</x:v>
      </x:c>
      <x:c r="I29" s="15" t="str">
        <x:f>IF(F29=G29,"Tie",IF(F29&gt;G29,D29,E29))</x:f>
        <x:v>Ivy League Résumés</x:v>
      </x:c>
      <x:c r="J29" s="15" t="str">
        <x:f>IF(H29=0,"Exact score tie",IF(ABS(H29)&lt;2,"Close editorial call","Model preference"))</x:f>
        <x:v>Model preference</x:v>
      </x:c>
      <x:c r="K29" s="15" t="str">
        <x:v>S041 S043 S044 S045 S046 S067 S068 S069 S070</x:v>
      </x:c>
    </x:row>
    <x:row r="30" ht="64" customHeight="1">
      <x:c r="A30" s="15" t="n">
        <x:v>25</x:v>
      </x:c>
      <x:c r="B30" s="15" t="str">
        <x:v>C18</x:v>
      </x:c>
      <x:c r="C30" s="15" t="str">
        <x:v>C15</x:v>
      </x:c>
      <x:c r="D30" s="15" t="str">
        <x:v>Career Impressions</x:v>
      </x:c>
      <x:c r="E30" s="15" t="str">
        <x:v>An Expert Resume</x:v>
      </x:c>
      <x:c r="F30" s="34" t="n">
        <x:f>'Score Inputs'!L23</x:f>
        <x:v>84.5</x:v>
      </x:c>
      <x:c r="G30" s="34" t="n">
        <x:f>'Score Inputs'!L20</x:f>
        <x:v>84.25</x:v>
      </x:c>
      <x:c r="H30" s="34" t="n">
        <x:f>F30-G30</x:f>
        <x:v>0.25</x:v>
      </x:c>
      <x:c r="I30" s="15" t="str">
        <x:f>IF(F30=G30,"Tie",IF(F30&gt;G30,D30,E30))</x:f>
        <x:v>Career Impressions</x:v>
      </x:c>
      <x:c r="J30" s="15" t="str">
        <x:f>IF(H30=0,"Exact score tie",IF(ABS(H30)&lt;2,"Close editorial call","Model preference"))</x:f>
        <x:v>Close editorial call</x:v>
      </x:c>
      <x:c r="K30" s="15" t="str">
        <x:v>S071 S072 S073 S084 S085 S087 S088 S119 S120</x:v>
      </x:c>
    </x:row>
    <x:row r="31" ht="64" customHeight="1">
      <x:c r="A31" s="15" t="n">
        <x:v>26</x:v>
      </x:c>
      <x:c r="B31" s="15" t="str">
        <x:v>C18</x:v>
      </x:c>
      <x:c r="C31" s="15" t="str">
        <x:v>C13</x:v>
      </x:c>
      <x:c r="D31" s="15" t="str">
        <x:v>Career Impressions</x:v>
      </x:c>
      <x:c r="E31" s="15" t="str">
        <x:v>Distinctive Career Services</x:v>
      </x:c>
      <x:c r="F31" s="34" t="n">
        <x:f>'Score Inputs'!L23</x:f>
        <x:v>84.5</x:v>
      </x:c>
      <x:c r="G31" s="34" t="n">
        <x:f>'Score Inputs'!L18</x:f>
        <x:v>82.75</x:v>
      </x:c>
      <x:c r="H31" s="34" t="n">
        <x:f>F31-G31</x:f>
        <x:v>1.75</x:v>
      </x:c>
      <x:c r="I31" s="15" t="str">
        <x:f>IF(F31=G31,"Tie",IF(F31&gt;G31,D31,E31))</x:f>
        <x:v>Career Impressions</x:v>
      </x:c>
      <x:c r="J31" s="15" t="str">
        <x:f>IF(H31=0,"Exact score tie",IF(ABS(H31)&lt;2,"Close editorial call","Model preference"))</x:f>
        <x:v>Close editorial call</x:v>
      </x:c>
      <x:c r="K31" s="15" t="str">
        <x:v>S060 S061 S062 S063 S064 S066 S084 S085 S087 S088 S117 S120</x:v>
      </x:c>
    </x:row>
    <x:row r="32" ht="64" customHeight="1">
      <x:c r="A32" s="15" t="n">
        <x:v>27</x:v>
      </x:c>
      <x:c r="B32" s="15" t="str">
        <x:v>C18</x:v>
      </x:c>
      <x:c r="C32" s="15" t="str">
        <x:v>C17</x:v>
      </x:c>
      <x:c r="D32" s="15" t="str">
        <x:v>Career Impressions</x:v>
      </x:c>
      <x:c r="E32" s="15" t="str">
        <x:v>The Writing Guru</x:v>
      </x:c>
      <x:c r="F32" s="34" t="n">
        <x:f>'Score Inputs'!L23</x:f>
        <x:v>84.5</x:v>
      </x:c>
      <x:c r="G32" s="34" t="n">
        <x:f>'Score Inputs'!L22</x:f>
        <x:v>82.5</x:v>
      </x:c>
      <x:c r="H32" s="34" t="n">
        <x:f>F32-G32</x:f>
        <x:v>2</x:v>
      </x:c>
      <x:c r="I32" s="15" t="str">
        <x:f>IF(F32=G32,"Tie",IF(F32&gt;G32,D32,E32))</x:f>
        <x:v>Career Impressions</x:v>
      </x:c>
      <x:c r="J32" s="15" t="str">
        <x:f>IF(H32=0,"Exact score tie",IF(ABS(H32)&lt;2,"Close editorial call","Model preference"))</x:f>
        <x:v>Model preference</x:v>
      </x:c>
      <x:c r="K32" s="15" t="str">
        <x:v>S079 S080 S082 S083 S084 S085 S087 S088 S116 S120 S121</x:v>
      </x:c>
    </x:row>
    <x:row r="33" ht="64" customHeight="1">
      <x:c r="A33" s="15" t="n">
        <x:v>28</x:v>
      </x:c>
      <x:c r="B33" s="15" t="str">
        <x:v>C18</x:v>
      </x:c>
      <x:c r="C33" s="15" t="str">
        <x:v>C20</x:v>
      </x:c>
      <x:c r="D33" s="15" t="str">
        <x:v>Career Impressions</x:v>
      </x:c>
      <x:c r="E33" s="15" t="str">
        <x:v>Career Steering</x:v>
      </x:c>
      <x:c r="F33" s="34" t="n">
        <x:f>'Score Inputs'!L23</x:f>
        <x:v>84.5</x:v>
      </x:c>
      <x:c r="G33" s="34" t="n">
        <x:f>'Score Inputs'!L25</x:f>
        <x:v>82.25</x:v>
      </x:c>
      <x:c r="H33" s="34" t="n">
        <x:f>F33-G33</x:f>
        <x:v>2.25</x:v>
      </x:c>
      <x:c r="I33" s="15" t="str">
        <x:f>IF(F33=G33,"Tie",IF(F33&gt;G33,D33,E33))</x:f>
        <x:v>Career Impressions</x:v>
      </x:c>
      <x:c r="J33" s="15" t="str">
        <x:f>IF(H33=0,"Exact score tie",IF(ABS(H33)&lt;2,"Close editorial call","Model preference"))</x:f>
        <x:v>Model preference</x:v>
      </x:c>
      <x:c r="K33" s="15" t="str">
        <x:v>S084 S085 S087 S088 S093 S118 S120</x:v>
      </x:c>
    </x:row>
    <x:row r="34" ht="64" customHeight="1">
      <x:c r="A34" s="15" t="n">
        <x:v>29</x:v>
      </x:c>
      <x:c r="B34" s="15" t="str">
        <x:v>C18</x:v>
      </x:c>
      <x:c r="C34" s="15" t="str">
        <x:v>C05</x:v>
      </x:c>
      <x:c r="D34" s="15" t="str">
        <x:v>Career Impressions</x:v>
      </x:c>
      <x:c r="E34" s="15" t="str">
        <x:v>ResumeSpice</x:v>
      </x:c>
      <x:c r="F34" s="34" t="n">
        <x:f>'Score Inputs'!L23</x:f>
        <x:v>84.5</x:v>
      </x:c>
      <x:c r="G34" s="34" t="n">
        <x:f>'Score Inputs'!L10</x:f>
        <x:v>82</x:v>
      </x:c>
      <x:c r="H34" s="34" t="n">
        <x:f>F34-G34</x:f>
        <x:v>2.5</x:v>
      </x:c>
      <x:c r="I34" s="15" t="str">
        <x:f>IF(F34=G34,"Tie",IF(F34&gt;G34,D34,E34))</x:f>
        <x:v>Career Impressions</x:v>
      </x:c>
      <x:c r="J34" s="15" t="str">
        <x:f>IF(H34=0,"Exact score tie",IF(ABS(H34)&lt;2,"Close editorial call","Model preference"))</x:f>
        <x:v>Model preference</x:v>
      </x:c>
      <x:c r="K34" s="15" t="str">
        <x:v>S020 S021 S022 S023 S024 S084 S085 S087 S088 S120</x:v>
      </x:c>
    </x:row>
    <x:row r="35" ht="64" customHeight="1">
      <x:c r="A35" s="15" t="n">
        <x:v>30</x:v>
      </x:c>
      <x:c r="B35" s="15" t="str">
        <x:v>C18</x:v>
      </x:c>
      <x:c r="C35" s="15" t="str">
        <x:v>C02</x:v>
      </x:c>
      <x:c r="D35" s="15" t="str">
        <x:v>Career Impressions</x:v>
      </x:c>
      <x:c r="E35" s="15" t="str">
        <x:v>Find My Profession</x:v>
      </x:c>
      <x:c r="F35" s="34" t="n">
        <x:f>'Score Inputs'!L23</x:f>
        <x:v>84.5</x:v>
      </x:c>
      <x:c r="G35" s="34" t="n">
        <x:f>'Score Inputs'!L7</x:f>
        <x:v>80.75</x:v>
      </x:c>
      <x:c r="H35" s="34" t="n">
        <x:f>F35-G35</x:f>
        <x:v>3.75</x:v>
      </x:c>
      <x:c r="I35" s="15" t="str">
        <x:f>IF(F35=G35,"Tie",IF(F35&gt;G35,D35,E35))</x:f>
        <x:v>Career Impressions</x:v>
      </x:c>
      <x:c r="J35" s="15" t="str">
        <x:f>IF(H35=0,"Exact score tie",IF(ABS(H35)&lt;2,"Close editorial call","Model preference"))</x:f>
        <x:v>Model preference</x:v>
      </x:c>
      <x:c r="K35" s="15" t="str">
        <x:v>S005 S007 S008 S009 S084 S085 S087 S088 S120 S123</x:v>
      </x:c>
    </x:row>
    <x:row r="36" ht="64" customHeight="1">
      <x:c r="A36" s="15" t="n">
        <x:v>31</x:v>
      </x:c>
      <x:c r="B36" s="15" t="str">
        <x:v>C18</x:v>
      </x:c>
      <x:c r="C36" s="15" t="str">
        <x:v>C25</x:v>
      </x:c>
      <x:c r="D36" s="15" t="str">
        <x:v>Career Impressions</x:v>
      </x:c>
      <x:c r="E36" s="15" t="str">
        <x:v>Employment BOOST</x:v>
      </x:c>
      <x:c r="F36" s="34" t="n">
        <x:f>'Score Inputs'!L23</x:f>
        <x:v>84.5</x:v>
      </x:c>
      <x:c r="G36" s="34" t="n">
        <x:f>'Score Inputs'!L30</x:f>
        <x:v>80.5</x:v>
      </x:c>
      <x:c r="H36" s="34" t="n">
        <x:f>F36-G36</x:f>
        <x:v>4</x:v>
      </x:c>
      <x:c r="I36" s="15" t="str">
        <x:f>IF(F36=G36,"Tie",IF(F36&gt;G36,D36,E36))</x:f>
        <x:v>Career Impressions</x:v>
      </x:c>
      <x:c r="J36" s="15" t="str">
        <x:f>IF(H36=0,"Exact score tie",IF(ABS(H36)&lt;2,"Close editorial call","Model preference"))</x:f>
        <x:v>Model preference</x:v>
      </x:c>
      <x:c r="K36" s="15" t="str">
        <x:v>S084 S085 S087 S088 S105 S106 S107 S115 S120</x:v>
      </x:c>
    </x:row>
    <x:row r="37" ht="64" customHeight="1">
      <x:c r="A37" s="15" t="n">
        <x:v>32</x:v>
      </x:c>
      <x:c r="B37" s="15" t="str">
        <x:v>C18</x:v>
      </x:c>
      <x:c r="C37" s="15" t="str">
        <x:v>C10</x:v>
      </x:c>
      <x:c r="D37" s="15" t="str">
        <x:v>Career Impressions</x:v>
      </x:c>
      <x:c r="E37" s="15" t="str">
        <x:v>JobStars USA</x:v>
      </x:c>
      <x:c r="F37" s="34" t="n">
        <x:f>'Score Inputs'!L23</x:f>
        <x:v>84.5</x:v>
      </x:c>
      <x:c r="G37" s="34" t="n">
        <x:f>'Score Inputs'!L15</x:f>
        <x:v>80.5</x:v>
      </x:c>
      <x:c r="H37" s="34" t="n">
        <x:f>F37-G37</x:f>
        <x:v>4</x:v>
      </x:c>
      <x:c r="I37" s="15" t="str">
        <x:f>IF(F37=G37,"Tie",IF(F37&gt;G37,D37,E37))</x:f>
        <x:v>Career Impressions</x:v>
      </x:c>
      <x:c r="J37" s="15" t="str">
        <x:f>IF(H37=0,"Exact score tie",IF(ABS(H37)&lt;2,"Close editorial call","Model preference"))</x:f>
        <x:v>Model preference</x:v>
      </x:c>
      <x:c r="K37" s="15" t="str">
        <x:v>S047 S048 S049 S050 S084 S085 S087 S088 S120</x:v>
      </x:c>
    </x:row>
    <x:row r="38" ht="64" customHeight="1">
      <x:c r="A38" s="15" t="n">
        <x:v>33</x:v>
      </x:c>
      <x:c r="B38" s="15" t="str">
        <x:v>C18</x:v>
      </x:c>
      <x:c r="C38" s="15" t="str">
        <x:v>C06</x:v>
      </x:c>
      <x:c r="D38" s="15" t="str">
        <x:v>Career Impressions</x:v>
      </x:c>
      <x:c r="E38" s="15" t="str">
        <x:v>Great Resumes Fast</x:v>
      </x:c>
      <x:c r="F38" s="34" t="n">
        <x:f>'Score Inputs'!L23</x:f>
        <x:v>84.5</x:v>
      </x:c>
      <x:c r="G38" s="34" t="n">
        <x:f>'Score Inputs'!L11</x:f>
        <x:v>80.5</x:v>
      </x:c>
      <x:c r="H38" s="34" t="n">
        <x:f>F38-G38</x:f>
        <x:v>4</x:v>
      </x:c>
      <x:c r="I38" s="15" t="str">
        <x:f>IF(F38=G38,"Tie",IF(F38&gt;G38,D38,E38))</x:f>
        <x:v>Career Impressions</x:v>
      </x:c>
      <x:c r="J38" s="15" t="str">
        <x:f>IF(H38=0,"Exact score tie",IF(ABS(H38)&lt;2,"Close editorial call","Model preference"))</x:f>
        <x:v>Model preference</x:v>
      </x:c>
      <x:c r="K38" s="15" t="str">
        <x:v>S025 S026 S027 S028 S084 S085 S087 S088 S120 S122</x:v>
      </x:c>
    </x:row>
    <x:row r="39" ht="64" customHeight="1">
      <x:c r="A39" s="15" t="n">
        <x:v>34</x:v>
      </x:c>
      <x:c r="B39" s="15" t="str">
        <x:v>C18</x:v>
      </x:c>
      <x:c r="C39" s="15" t="str">
        <x:v>C12</x:v>
      </x:c>
      <x:c r="D39" s="15" t="str">
        <x:v>Career Impressions</x:v>
      </x:c>
      <x:c r="E39" s="15" t="str">
        <x:v>iCareerSolutions</x:v>
      </x:c>
      <x:c r="F39" s="34" t="n">
        <x:f>'Score Inputs'!L23</x:f>
        <x:v>84.5</x:v>
      </x:c>
      <x:c r="G39" s="34" t="n">
        <x:f>'Score Inputs'!L17</x:f>
        <x:v>80.5</x:v>
      </x:c>
      <x:c r="H39" s="34" t="n">
        <x:f>F39-G39</x:f>
        <x:v>4</x:v>
      </x:c>
      <x:c r="I39" s="15" t="str">
        <x:f>IF(F39=G39,"Tie",IF(F39&gt;G39,D39,E39))</x:f>
        <x:v>Career Impressions</x:v>
      </x:c>
      <x:c r="J39" s="15" t="str">
        <x:f>IF(H39=0,"Exact score tie",IF(ABS(H39)&lt;2,"Close editorial call","Model preference"))</x:f>
        <x:v>Model preference</x:v>
      </x:c>
      <x:c r="K39" s="15" t="str">
        <x:v>S055 S056 S057 S058 S059 S084 S085 S087 S088 S120</x:v>
      </x:c>
    </x:row>
    <x:row r="40" ht="64" customHeight="1">
      <x:c r="A40" s="15" t="n">
        <x:v>35</x:v>
      </x:c>
      <x:c r="B40" s="15" t="str">
        <x:v>C18</x:v>
      </x:c>
      <x:c r="C40" s="15" t="str">
        <x:v>C01</x:v>
      </x:c>
      <x:c r="D40" s="15" t="str">
        <x:v>Career Impressions</x:v>
      </x:c>
      <x:c r="E40" s="15" t="str">
        <x:v>Let’s Eat, Grandma</x:v>
      </x:c>
      <x:c r="F40" s="34" t="n">
        <x:f>'Score Inputs'!L23</x:f>
        <x:v>84.5</x:v>
      </x:c>
      <x:c r="G40" s="34" t="n">
        <x:f>'Score Inputs'!L6</x:f>
        <x:v>80.25</x:v>
      </x:c>
      <x:c r="H40" s="34" t="n">
        <x:f>F40-G40</x:f>
        <x:v>4.25</x:v>
      </x:c>
      <x:c r="I40" s="15" t="str">
        <x:f>IF(F40=G40,"Tie",IF(F40&gt;G40,D40,E40))</x:f>
        <x:v>Career Impressions</x:v>
      </x:c>
      <x:c r="J40" s="15" t="str">
        <x:f>IF(H40=0,"Exact score tie",IF(ABS(H40)&lt;2,"Close editorial call","Model preference"))</x:f>
        <x:v>Model preference</x:v>
      </x:c>
      <x:c r="K40" s="15" t="str">
        <x:v>S001 S002 S003 S004 S084 S085 S087 S088 S120</x:v>
      </x:c>
    </x:row>
    <x:row r="41" ht="64" customHeight="1">
      <x:c r="A41" s="15" t="n">
        <x:v>36</x:v>
      </x:c>
      <x:c r="B41" s="15" t="str">
        <x:v>C18</x:v>
      </x:c>
      <x:c r="C41" s="15" t="str">
        <x:v>C22</x:v>
      </x:c>
      <x:c r="D41" s="15" t="str">
        <x:v>Career Impressions</x:v>
      </x:c>
      <x:c r="E41" s="15" t="str">
        <x:v>Briefcase Coach</x:v>
      </x:c>
      <x:c r="F41" s="34" t="n">
        <x:f>'Score Inputs'!L23</x:f>
        <x:v>84.5</x:v>
      </x:c>
      <x:c r="G41" s="34" t="n">
        <x:f>'Score Inputs'!L27</x:f>
        <x:v>79.25</x:v>
      </x:c>
      <x:c r="H41" s="34" t="n">
        <x:f>F41-G41</x:f>
        <x:v>5.25</x:v>
      </x:c>
      <x:c r="I41" s="15" t="str">
        <x:f>IF(F41=G41,"Tie",IF(F41&gt;G41,D41,E41))</x:f>
        <x:v>Career Impressions</x:v>
      </x:c>
      <x:c r="J41" s="15" t="str">
        <x:f>IF(H41=0,"Exact score tie",IF(ABS(H41)&lt;2,"Close editorial call","Model preference"))</x:f>
        <x:v>Model preference</x:v>
      </x:c>
      <x:c r="K41" s="15" t="str">
        <x:v>S084 S085 S087 S088 S097 S098 S109 S110 S120</x:v>
      </x:c>
    </x:row>
    <x:row r="42" ht="64" customHeight="1">
      <x:c r="A42" s="15" t="n">
        <x:v>37</x:v>
      </x:c>
      <x:c r="B42" s="15" t="str">
        <x:v>C18</x:v>
      </x:c>
      <x:c r="C42" s="15" t="str">
        <x:v>C21</x:v>
      </x:c>
      <x:c r="D42" s="15" t="str">
        <x:v>Career Impressions</x:v>
      </x:c>
      <x:c r="E42" s="15" t="str">
        <x:v>Blue Sky Resumes</x:v>
      </x:c>
      <x:c r="F42" s="34" t="n">
        <x:f>'Score Inputs'!L23</x:f>
        <x:v>84.5</x:v>
      </x:c>
      <x:c r="G42" s="34" t="n">
        <x:f>'Score Inputs'!L26</x:f>
        <x:v>79.25</x:v>
      </x:c>
      <x:c r="H42" s="34" t="n">
        <x:f>F42-G42</x:f>
        <x:v>5.25</x:v>
      </x:c>
      <x:c r="I42" s="15" t="str">
        <x:f>IF(F42=G42,"Tie",IF(F42&gt;G42,D42,E42))</x:f>
        <x:v>Career Impressions</x:v>
      </x:c>
      <x:c r="J42" s="15" t="str">
        <x:f>IF(H42=0,"Exact score tie",IF(ABS(H42)&lt;2,"Close editorial call","Model preference"))</x:f>
        <x:v>Model preference</x:v>
      </x:c>
      <x:c r="K42" s="15" t="str">
        <x:v>S084 S085 S087 S088 S095 S096 S111 S112 S120</x:v>
      </x:c>
    </x:row>
    <x:row r="43" ht="64" customHeight="1">
      <x:c r="A43" s="15" t="n">
        <x:v>38</x:v>
      </x:c>
      <x:c r="B43" s="15" t="str">
        <x:v>C18</x:v>
      </x:c>
      <x:c r="C43" s="15" t="str">
        <x:v>C19</x:v>
      </x:c>
      <x:c r="D43" s="15" t="str">
        <x:v>Career Impressions</x:v>
      </x:c>
      <x:c r="E43" s="15" t="str">
        <x:v>CareerProPlus / CareerPro Global</x:v>
      </x:c>
      <x:c r="F43" s="34" t="n">
        <x:f>'Score Inputs'!L23</x:f>
        <x:v>84.5</x:v>
      </x:c>
      <x:c r="G43" s="34" t="n">
        <x:f>'Score Inputs'!L24</x:f>
        <x:v>77.5</x:v>
      </x:c>
      <x:c r="H43" s="34" t="n">
        <x:f>F43-G43</x:f>
        <x:v>7</x:v>
      </x:c>
      <x:c r="I43" s="15" t="str">
        <x:f>IF(F43=G43,"Tie",IF(F43&gt;G43,D43,E43))</x:f>
        <x:v>Career Impressions</x:v>
      </x:c>
      <x:c r="J43" s="15" t="str">
        <x:f>IF(H43=0,"Exact score tie",IF(ABS(H43)&lt;2,"Close editorial call","Model preference"))</x:f>
        <x:v>Model preference</x:v>
      </x:c>
      <x:c r="K43" s="15" t="str">
        <x:v>S084 S085 S087 S088 S089 S090 S091 S092 S120</x:v>
      </x:c>
    </x:row>
    <x:row r="44" ht="64" customHeight="1">
      <x:c r="A44" s="15" t="n">
        <x:v>39</x:v>
      </x:c>
      <x:c r="B44" s="15" t="str">
        <x:v>C18</x:v>
      </x:c>
      <x:c r="C44" s="15" t="str">
        <x:v>C24</x:v>
      </x:c>
      <x:c r="D44" s="15" t="str">
        <x:v>Career Impressions</x:v>
      </x:c>
      <x:c r="E44" s="15" t="str">
        <x:v>Scientech Resumes / Scientech Career Systems</x:v>
      </x:c>
      <x:c r="F44" s="34" t="n">
        <x:f>'Score Inputs'!L23</x:f>
        <x:v>84.5</x:v>
      </x:c>
      <x:c r="G44" s="34" t="n">
        <x:f>'Score Inputs'!L29</x:f>
        <x:v>77.25</x:v>
      </x:c>
      <x:c r="H44" s="34" t="n">
        <x:f>F44-G44</x:f>
        <x:v>7.25</x:v>
      </x:c>
      <x:c r="I44" s="15" t="str">
        <x:f>IF(F44=G44,"Tie",IF(F44&gt;G44,D44,E44))</x:f>
        <x:v>Career Impressions</x:v>
      </x:c>
      <x:c r="J44" s="15" t="str">
        <x:f>IF(H44=0,"Exact score tie",IF(ABS(H44)&lt;2,"Close editorial call","Model preference"))</x:f>
        <x:v>Model preference</x:v>
      </x:c>
      <x:c r="K44" s="15" t="str">
        <x:v>S084 S085 S087 S088 S102 S104 S113 S114 S120</x:v>
      </x:c>
    </x:row>
    <x:row r="45" ht="64" customHeight="1">
      <x:c r="A45" s="15" t="n">
        <x:v>40</x:v>
      </x:c>
      <x:c r="B45" s="15" t="str">
        <x:v>C18</x:v>
      </x:c>
      <x:c r="C45" s="15" t="str">
        <x:v>C03</x:v>
      </x:c>
      <x:c r="D45" s="15" t="str">
        <x:v>Career Impressions</x:v>
      </x:c>
      <x:c r="E45" s="15" t="str">
        <x:v>TopStack Resume</x:v>
      </x:c>
      <x:c r="F45" s="34" t="n">
        <x:f>'Score Inputs'!L23</x:f>
        <x:v>84.5</x:v>
      </x:c>
      <x:c r="G45" s="34" t="n">
        <x:f>'Score Inputs'!L8</x:f>
        <x:v>76.75</x:v>
      </x:c>
      <x:c r="H45" s="34" t="n">
        <x:f>F45-G45</x:f>
        <x:v>7.75</x:v>
      </x:c>
      <x:c r="I45" s="15" t="str">
        <x:f>IF(F45=G45,"Tie",IF(F45&gt;G45,D45,E45))</x:f>
        <x:v>Career Impressions</x:v>
      </x:c>
      <x:c r="J45" s="15" t="str">
        <x:f>IF(H45=0,"Exact score tie",IF(ABS(H45)&lt;2,"Close editorial call","Model preference"))</x:f>
        <x:v>Model preference</x:v>
      </x:c>
      <x:c r="K45" s="15" t="str">
        <x:v>S010 S011 S012 S013 S084 S085 S087 S088 S108 S120</x:v>
      </x:c>
    </x:row>
    <x:row r="46" ht="64" customHeight="1">
      <x:c r="A46" s="15" t="n">
        <x:v>41</x:v>
      </x:c>
      <x:c r="B46" s="15" t="str">
        <x:v>C18</x:v>
      </x:c>
      <x:c r="C46" s="15" t="str">
        <x:v>C08</x:v>
      </x:c>
      <x:c r="D46" s="15" t="str">
        <x:v>Career Impressions</x:v>
      </x:c>
      <x:c r="E46" s="15" t="str">
        <x:v>The Resume Place</x:v>
      </x:c>
      <x:c r="F46" s="34" t="n">
        <x:f>'Score Inputs'!L23</x:f>
        <x:v>84.5</x:v>
      </x:c>
      <x:c r="G46" s="34" t="n">
        <x:f>'Score Inputs'!L13</x:f>
        <x:v>76.75</x:v>
      </x:c>
      <x:c r="H46" s="34" t="n">
        <x:f>F46-G46</x:f>
        <x:v>7.75</x:v>
      </x:c>
      <x:c r="I46" s="15" t="str">
        <x:f>IF(F46=G46,"Tie",IF(F46&gt;G46,D46,E46))</x:f>
        <x:v>Career Impressions</x:v>
      </x:c>
      <x:c r="J46" s="15" t="str">
        <x:f>IF(H46=0,"Exact score tie",IF(ABS(H46)&lt;2,"Close editorial call","Model preference"))</x:f>
        <x:v>Model preference</x:v>
      </x:c>
      <x:c r="K46" s="15" t="str">
        <x:v>S037 S038 S039 S040 S066 S084 S085 S087 S088 S120</x:v>
      </x:c>
    </x:row>
    <x:row r="47" ht="64" customHeight="1">
      <x:c r="A47" s="15" t="n">
        <x:v>42</x:v>
      </x:c>
      <x:c r="B47" s="15" t="str">
        <x:v>C18</x:v>
      </x:c>
      <x:c r="C47" s="15" t="str">
        <x:v>C23</x:v>
      </x:c>
      <x:c r="D47" s="15" t="str">
        <x:v>Career Impressions</x:v>
      </x:c>
      <x:c r="E47" s="15" t="str">
        <x:v>Klaxos</x:v>
      </x:c>
      <x:c r="F47" s="34" t="n">
        <x:f>'Score Inputs'!L23</x:f>
        <x:v>84.5</x:v>
      </x:c>
      <x:c r="G47" s="34" t="n">
        <x:f>'Score Inputs'!L28</x:f>
        <x:v>75.75</x:v>
      </x:c>
      <x:c r="H47" s="34" t="n">
        <x:f>F47-G47</x:f>
        <x:v>8.75</x:v>
      </x:c>
      <x:c r="I47" s="15" t="str">
        <x:f>IF(F47=G47,"Tie",IF(F47&gt;G47,D47,E47))</x:f>
        <x:v>Career Impressions</x:v>
      </x:c>
      <x:c r="J47" s="15" t="str">
        <x:f>IF(H47=0,"Exact score tie",IF(ABS(H47)&lt;2,"Close editorial call","Model preference"))</x:f>
        <x:v>Model preference</x:v>
      </x:c>
      <x:c r="K47" s="15" t="str">
        <x:v>S084 S085 S087 S088 S099 S100 S101 S120</x:v>
      </x:c>
    </x:row>
    <x:row r="48" ht="64" customHeight="1">
      <x:c r="A48" s="15" t="n">
        <x:v>43</x:v>
      </x:c>
      <x:c r="B48" s="15" t="str">
        <x:v>C18</x:v>
      </x:c>
      <x:c r="C48" s="15" t="str">
        <x:v>C04</x:v>
      </x:c>
      <x:c r="D48" s="15" t="str">
        <x:v>Career Impressions</x:v>
      </x:c>
      <x:c r="E48" s="15" t="str">
        <x:v>Resumeble</x:v>
      </x:c>
      <x:c r="F48" s="34" t="n">
        <x:f>'Score Inputs'!L23</x:f>
        <x:v>84.5</x:v>
      </x:c>
      <x:c r="G48" s="34" t="n">
        <x:f>'Score Inputs'!L9</x:f>
        <x:v>74.5</x:v>
      </x:c>
      <x:c r="H48" s="34" t="n">
        <x:f>F48-G48</x:f>
        <x:v>10</x:v>
      </x:c>
      <x:c r="I48" s="15" t="str">
        <x:f>IF(F48=G48,"Tie",IF(F48&gt;G48,D48,E48))</x:f>
        <x:v>Career Impressions</x:v>
      </x:c>
      <x:c r="J48" s="15" t="str">
        <x:f>IF(H48=0,"Exact score tie",IF(ABS(H48)&lt;2,"Close editorial call","Model preference"))</x:f>
        <x:v>Model preference</x:v>
      </x:c>
      <x:c r="K48" s="15" t="str">
        <x:v>S014 S015 S016 S017 S018 S019 S084 S085 S087 S088 S120</x:v>
      </x:c>
    </x:row>
    <x:row r="49" ht="64" customHeight="1">
      <x:c r="A49" s="15" t="n">
        <x:v>44</x:v>
      </x:c>
      <x:c r="B49" s="15" t="str">
        <x:v>C18</x:v>
      </x:c>
      <x:c r="C49" s="15" t="str">
        <x:v>C16</x:v>
      </x:c>
      <x:c r="D49" s="15" t="str">
        <x:v>Career Impressions</x:v>
      </x:c>
      <x:c r="E49" s="15" t="str">
        <x:v>Resume Target</x:v>
      </x:c>
      <x:c r="F49" s="34" t="n">
        <x:f>'Score Inputs'!L23</x:f>
        <x:v>84.5</x:v>
      </x:c>
      <x:c r="G49" s="34" t="n">
        <x:f>'Score Inputs'!L21</x:f>
        <x:v>74.5</x:v>
      </x:c>
      <x:c r="H49" s="34" t="n">
        <x:f>F49-G49</x:f>
        <x:v>10</x:v>
      </x:c>
      <x:c r="I49" s="15" t="str">
        <x:f>IF(F49=G49,"Tie",IF(F49&gt;G49,D49,E49))</x:f>
        <x:v>Career Impressions</x:v>
      </x:c>
      <x:c r="J49" s="15" t="str">
        <x:f>IF(H49=0,"Exact score tie",IF(ABS(H49)&lt;2,"Close editorial call","Model preference"))</x:f>
        <x:v>Model preference</x:v>
      </x:c>
      <x:c r="K49" s="15" t="str">
        <x:v>S075 S076 S077 S078 S084 S085 S087 S088 S120</x:v>
      </x:c>
    </x:row>
    <x:row r="50" ht="64" customHeight="1">
      <x:c r="A50" s="15" t="n">
        <x:v>45</x:v>
      </x:c>
      <x:c r="B50" s="15" t="str">
        <x:v>C18</x:v>
      </x:c>
      <x:c r="C50" s="15" t="str">
        <x:v>C11</x:v>
      </x:c>
      <x:c r="D50" s="15" t="str">
        <x:v>Career Impressions</x:v>
      </x:c>
      <x:c r="E50" s="15" t="str">
        <x:v>Resume Professional Writers</x:v>
      </x:c>
      <x:c r="F50" s="34" t="n">
        <x:f>'Score Inputs'!L23</x:f>
        <x:v>84.5</x:v>
      </x:c>
      <x:c r="G50" s="34" t="n">
        <x:f>'Score Inputs'!L16</x:f>
        <x:v>65.75</x:v>
      </x:c>
      <x:c r="H50" s="34" t="n">
        <x:f>F50-G50</x:f>
        <x:v>18.75</x:v>
      </x:c>
      <x:c r="I50" s="15" t="str">
        <x:f>IF(F50=G50,"Tie",IF(F50&gt;G50,D50,E50))</x:f>
        <x:v>Career Impressions</x:v>
      </x:c>
      <x:c r="J50" s="15" t="str">
        <x:f>IF(H50=0,"Exact score tie",IF(ABS(H50)&lt;2,"Close editorial call","Model preference"))</x:f>
        <x:v>Model preference</x:v>
      </x:c>
      <x:c r="K50" s="15" t="str">
        <x:v>S051 S052 S053 S054 S084 S085 S087 S088 S120</x:v>
      </x:c>
    </x:row>
    <x:row r="51" ht="64" customHeight="1">
      <x:c r="A51" s="15" t="n">
        <x:v>46</x:v>
      </x:c>
      <x:c r="B51" s="15" t="str">
        <x:v>C18</x:v>
      </x:c>
      <x:c r="C51" s="15" t="str">
        <x:v>C07</x:v>
      </x:c>
      <x:c r="D51" s="15" t="str">
        <x:v>Career Impressions</x:v>
      </x:c>
      <x:c r="E51" s="15" t="str">
        <x:v>TopResume</x:v>
      </x:c>
      <x:c r="F51" s="34" t="n">
        <x:f>'Score Inputs'!L23</x:f>
        <x:v>84.5</x:v>
      </x:c>
      <x:c r="G51" s="34" t="n">
        <x:f>'Score Inputs'!L12</x:f>
        <x:v>62.75</x:v>
      </x:c>
      <x:c r="H51" s="34" t="n">
        <x:f>F51-G51</x:f>
        <x:v>21.75</x:v>
      </x:c>
      <x:c r="I51" s="15" t="str">
        <x:f>IF(F51=G51,"Tie",IF(F51&gt;G51,D51,E51))</x:f>
        <x:v>Career Impressions</x:v>
      </x:c>
      <x:c r="J51" s="15" t="str">
        <x:f>IF(H51=0,"Exact score tie",IF(ABS(H51)&lt;2,"Close editorial call","Model preference"))</x:f>
        <x:v>Model preference</x:v>
      </x:c>
      <x:c r="K51" s="15" t="str">
        <x:v>S029 S030 S031 S032 S034 S035 S036 S084 S085 S087 S088 S120</x:v>
      </x:c>
    </x:row>
    <x:row r="52" ht="64" customHeight="1">
      <x:c r="A52" s="15" t="n">
        <x:v>47</x:v>
      </x:c>
      <x:c r="B52" s="15" t="str">
        <x:v>C18</x:v>
      </x:c>
      <x:c r="C52" s="15" t="str">
        <x:v>C14</x:v>
      </x:c>
      <x:c r="D52" s="15" t="str">
        <x:v>Career Impressions</x:v>
      </x:c>
      <x:c r="E52" s="15" t="str">
        <x:v>Resume Writing Group</x:v>
      </x:c>
      <x:c r="F52" s="34" t="n">
        <x:f>'Score Inputs'!L23</x:f>
        <x:v>84.5</x:v>
      </x:c>
      <x:c r="G52" s="34" t="n">
        <x:f>'Score Inputs'!L19</x:f>
        <x:v>59.75</x:v>
      </x:c>
      <x:c r="H52" s="34" t="n">
        <x:f>F52-G52</x:f>
        <x:v>24.75</x:v>
      </x:c>
      <x:c r="I52" s="15" t="str">
        <x:f>IF(F52=G52,"Tie",IF(F52&gt;G52,D52,E52))</x:f>
        <x:v>Career Impressions</x:v>
      </x:c>
      <x:c r="J52" s="15" t="str">
        <x:f>IF(H52=0,"Exact score tie",IF(ABS(H52)&lt;2,"Close editorial call","Model preference"))</x:f>
        <x:v>Model preference</x:v>
      </x:c>
      <x:c r="K52" s="15" t="str">
        <x:v>S067 S068 S069 S070 S084 S085 S087 S088 S120</x:v>
      </x:c>
    </x:row>
    <x:row r="53" ht="64" customHeight="1">
      <x:c r="A53" s="15" t="n">
        <x:v>48</x:v>
      </x:c>
      <x:c r="B53" s="15" t="str">
        <x:v>C15</x:v>
      </x:c>
      <x:c r="C53" s="15" t="str">
        <x:v>C13</x:v>
      </x:c>
      <x:c r="D53" s="15" t="str">
        <x:v>An Expert Resume</x:v>
      </x:c>
      <x:c r="E53" s="15" t="str">
        <x:v>Distinctive Career Services</x:v>
      </x:c>
      <x:c r="F53" s="34" t="n">
        <x:f>'Score Inputs'!L20</x:f>
        <x:v>84.25</x:v>
      </x:c>
      <x:c r="G53" s="34" t="n">
        <x:f>'Score Inputs'!L18</x:f>
        <x:v>82.75</x:v>
      </x:c>
      <x:c r="H53" s="34" t="n">
        <x:f>F53-G53</x:f>
        <x:v>1.5</x:v>
      </x:c>
      <x:c r="I53" s="15" t="str">
        <x:f>IF(F53=G53,"Tie",IF(F53&gt;G53,D53,E53))</x:f>
        <x:v>An Expert Resume</x:v>
      </x:c>
      <x:c r="J53" s="15" t="str">
        <x:f>IF(H53=0,"Exact score tie",IF(ABS(H53)&lt;2,"Close editorial call","Model preference"))</x:f>
        <x:v>Close editorial call</x:v>
      </x:c>
      <x:c r="K53" s="15" t="str">
        <x:v>S060 S061 S062 S063 S064 S066 S071 S072 S073 S117 S119 S120</x:v>
      </x:c>
    </x:row>
    <x:row r="54" ht="64" customHeight="1">
      <x:c r="A54" s="15" t="n">
        <x:v>49</x:v>
      </x:c>
      <x:c r="B54" s="15" t="str">
        <x:v>C15</x:v>
      </x:c>
      <x:c r="C54" s="15" t="str">
        <x:v>C17</x:v>
      </x:c>
      <x:c r="D54" s="15" t="str">
        <x:v>An Expert Resume</x:v>
      </x:c>
      <x:c r="E54" s="15" t="str">
        <x:v>The Writing Guru</x:v>
      </x:c>
      <x:c r="F54" s="34" t="n">
        <x:f>'Score Inputs'!L20</x:f>
        <x:v>84.25</x:v>
      </x:c>
      <x:c r="G54" s="34" t="n">
        <x:f>'Score Inputs'!L22</x:f>
        <x:v>82.5</x:v>
      </x:c>
      <x:c r="H54" s="34" t="n">
        <x:f>F54-G54</x:f>
        <x:v>1.75</x:v>
      </x:c>
      <x:c r="I54" s="15" t="str">
        <x:f>IF(F54=G54,"Tie",IF(F54&gt;G54,D54,E54))</x:f>
        <x:v>An Expert Resume</x:v>
      </x:c>
      <x:c r="J54" s="15" t="str">
        <x:f>IF(H54=0,"Exact score tie",IF(ABS(H54)&lt;2,"Close editorial call","Model preference"))</x:f>
        <x:v>Close editorial call</x:v>
      </x:c>
      <x:c r="K54" s="15" t="str">
        <x:v>S071 S072 S073 S079 S080 S082 S083 S116 S119 S120 S121</x:v>
      </x:c>
    </x:row>
    <x:row r="55" ht="64" customHeight="1">
      <x:c r="A55" s="15" t="n">
        <x:v>50</x:v>
      </x:c>
      <x:c r="B55" s="15" t="str">
        <x:v>C15</x:v>
      </x:c>
      <x:c r="C55" s="15" t="str">
        <x:v>C20</x:v>
      </x:c>
      <x:c r="D55" s="15" t="str">
        <x:v>An Expert Resume</x:v>
      </x:c>
      <x:c r="E55" s="15" t="str">
        <x:v>Career Steering</x:v>
      </x:c>
      <x:c r="F55" s="34" t="n">
        <x:f>'Score Inputs'!L20</x:f>
        <x:v>84.25</x:v>
      </x:c>
      <x:c r="G55" s="34" t="n">
        <x:f>'Score Inputs'!L25</x:f>
        <x:v>82.25</x:v>
      </x:c>
      <x:c r="H55" s="34" t="n">
        <x:f>F55-G55</x:f>
        <x:v>2</x:v>
      </x:c>
      <x:c r="I55" s="15" t="str">
        <x:f>IF(F55=G55,"Tie",IF(F55&gt;G55,D55,E55))</x:f>
        <x:v>An Expert Resume</x:v>
      </x:c>
      <x:c r="J55" s="15" t="str">
        <x:f>IF(H55=0,"Exact score tie",IF(ABS(H55)&lt;2,"Close editorial call","Model preference"))</x:f>
        <x:v>Model preference</x:v>
      </x:c>
      <x:c r="K55" s="15" t="str">
        <x:v>S071 S072 S073 S093 S118 S119 S120</x:v>
      </x:c>
    </x:row>
    <x:row r="56" ht="64" customHeight="1">
      <x:c r="A56" s="15" t="n">
        <x:v>51</x:v>
      </x:c>
      <x:c r="B56" s="15" t="str">
        <x:v>C15</x:v>
      </x:c>
      <x:c r="C56" s="15" t="str">
        <x:v>C05</x:v>
      </x:c>
      <x:c r="D56" s="15" t="str">
        <x:v>An Expert Resume</x:v>
      </x:c>
      <x:c r="E56" s="15" t="str">
        <x:v>ResumeSpice</x:v>
      </x:c>
      <x:c r="F56" s="34" t="n">
        <x:f>'Score Inputs'!L20</x:f>
        <x:v>84.25</x:v>
      </x:c>
      <x:c r="G56" s="34" t="n">
        <x:f>'Score Inputs'!L10</x:f>
        <x:v>82</x:v>
      </x:c>
      <x:c r="H56" s="34" t="n">
        <x:f>F56-G56</x:f>
        <x:v>2.25</x:v>
      </x:c>
      <x:c r="I56" s="15" t="str">
        <x:f>IF(F56=G56,"Tie",IF(F56&gt;G56,D56,E56))</x:f>
        <x:v>An Expert Resume</x:v>
      </x:c>
      <x:c r="J56" s="15" t="str">
        <x:f>IF(H56=0,"Exact score tie",IF(ABS(H56)&lt;2,"Close editorial call","Model preference"))</x:f>
        <x:v>Model preference</x:v>
      </x:c>
      <x:c r="K56" s="15" t="str">
        <x:v>S020 S021 S022 S023 S024 S071 S072 S073 S119 S120</x:v>
      </x:c>
    </x:row>
    <x:row r="57" ht="64" customHeight="1">
      <x:c r="A57" s="15" t="n">
        <x:v>52</x:v>
      </x:c>
      <x:c r="B57" s="15" t="str">
        <x:v>C15</x:v>
      </x:c>
      <x:c r="C57" s="15" t="str">
        <x:v>C02</x:v>
      </x:c>
      <x:c r="D57" s="15" t="str">
        <x:v>An Expert Resume</x:v>
      </x:c>
      <x:c r="E57" s="15" t="str">
        <x:v>Find My Profession</x:v>
      </x:c>
      <x:c r="F57" s="34" t="n">
        <x:f>'Score Inputs'!L20</x:f>
        <x:v>84.25</x:v>
      </x:c>
      <x:c r="G57" s="34" t="n">
        <x:f>'Score Inputs'!L7</x:f>
        <x:v>80.75</x:v>
      </x:c>
      <x:c r="H57" s="34" t="n">
        <x:f>F57-G57</x:f>
        <x:v>3.5</x:v>
      </x:c>
      <x:c r="I57" s="15" t="str">
        <x:f>IF(F57=G57,"Tie",IF(F57&gt;G57,D57,E57))</x:f>
        <x:v>An Expert Resume</x:v>
      </x:c>
      <x:c r="J57" s="15" t="str">
        <x:f>IF(H57=0,"Exact score tie",IF(ABS(H57)&lt;2,"Close editorial call","Model preference"))</x:f>
        <x:v>Model preference</x:v>
      </x:c>
      <x:c r="K57" s="15" t="str">
        <x:v>S005 S007 S008 S009 S071 S072 S073 S119 S120 S123</x:v>
      </x:c>
    </x:row>
    <x:row r="58" ht="64" customHeight="1">
      <x:c r="A58" s="15" t="n">
        <x:v>53</x:v>
      </x:c>
      <x:c r="B58" s="15" t="str">
        <x:v>C15</x:v>
      </x:c>
      <x:c r="C58" s="15" t="str">
        <x:v>C25</x:v>
      </x:c>
      <x:c r="D58" s="15" t="str">
        <x:v>An Expert Resume</x:v>
      </x:c>
      <x:c r="E58" s="15" t="str">
        <x:v>Employment BOOST</x:v>
      </x:c>
      <x:c r="F58" s="34" t="n">
        <x:f>'Score Inputs'!L20</x:f>
        <x:v>84.25</x:v>
      </x:c>
      <x:c r="G58" s="34" t="n">
        <x:f>'Score Inputs'!L30</x:f>
        <x:v>80.5</x:v>
      </x:c>
      <x:c r="H58" s="34" t="n">
        <x:f>F58-G58</x:f>
        <x:v>3.75</x:v>
      </x:c>
      <x:c r="I58" s="15" t="str">
        <x:f>IF(F58=G58,"Tie",IF(F58&gt;G58,D58,E58))</x:f>
        <x:v>An Expert Resume</x:v>
      </x:c>
      <x:c r="J58" s="15" t="str">
        <x:f>IF(H58=0,"Exact score tie",IF(ABS(H58)&lt;2,"Close editorial call","Model preference"))</x:f>
        <x:v>Model preference</x:v>
      </x:c>
      <x:c r="K58" s="15" t="str">
        <x:v>S071 S072 S073 S105 S106 S107 S115 S119 S120</x:v>
      </x:c>
    </x:row>
    <x:row r="59" ht="64" customHeight="1">
      <x:c r="A59" s="15" t="n">
        <x:v>54</x:v>
      </x:c>
      <x:c r="B59" s="15" t="str">
        <x:v>C15</x:v>
      </x:c>
      <x:c r="C59" s="15" t="str">
        <x:v>C10</x:v>
      </x:c>
      <x:c r="D59" s="15" t="str">
        <x:v>An Expert Resume</x:v>
      </x:c>
      <x:c r="E59" s="15" t="str">
        <x:v>JobStars USA</x:v>
      </x:c>
      <x:c r="F59" s="34" t="n">
        <x:f>'Score Inputs'!L20</x:f>
        <x:v>84.25</x:v>
      </x:c>
      <x:c r="G59" s="34" t="n">
        <x:f>'Score Inputs'!L15</x:f>
        <x:v>80.5</x:v>
      </x:c>
      <x:c r="H59" s="34" t="n">
        <x:f>F59-G59</x:f>
        <x:v>3.75</x:v>
      </x:c>
      <x:c r="I59" s="15" t="str">
        <x:f>IF(F59=G59,"Tie",IF(F59&gt;G59,D59,E59))</x:f>
        <x:v>An Expert Resume</x:v>
      </x:c>
      <x:c r="J59" s="15" t="str">
        <x:f>IF(H59=0,"Exact score tie",IF(ABS(H59)&lt;2,"Close editorial call","Model preference"))</x:f>
        <x:v>Model preference</x:v>
      </x:c>
      <x:c r="K59" s="15" t="str">
        <x:v>S047 S048 S049 S050 S071 S072 S073 S119 S120</x:v>
      </x:c>
    </x:row>
    <x:row r="60" ht="64" customHeight="1">
      <x:c r="A60" s="15" t="n">
        <x:v>55</x:v>
      </x:c>
      <x:c r="B60" s="15" t="str">
        <x:v>C15</x:v>
      </x:c>
      <x:c r="C60" s="15" t="str">
        <x:v>C06</x:v>
      </x:c>
      <x:c r="D60" s="15" t="str">
        <x:v>An Expert Resume</x:v>
      </x:c>
      <x:c r="E60" s="15" t="str">
        <x:v>Great Resumes Fast</x:v>
      </x:c>
      <x:c r="F60" s="34" t="n">
        <x:f>'Score Inputs'!L20</x:f>
        <x:v>84.25</x:v>
      </x:c>
      <x:c r="G60" s="34" t="n">
        <x:f>'Score Inputs'!L11</x:f>
        <x:v>80.5</x:v>
      </x:c>
      <x:c r="H60" s="34" t="n">
        <x:f>F60-G60</x:f>
        <x:v>3.75</x:v>
      </x:c>
      <x:c r="I60" s="15" t="str">
        <x:f>IF(F60=G60,"Tie",IF(F60&gt;G60,D60,E60))</x:f>
        <x:v>An Expert Resume</x:v>
      </x:c>
      <x:c r="J60" s="15" t="str">
        <x:f>IF(H60=0,"Exact score tie",IF(ABS(H60)&lt;2,"Close editorial call","Model preference"))</x:f>
        <x:v>Model preference</x:v>
      </x:c>
      <x:c r="K60" s="15" t="str">
        <x:v>S025 S026 S027 S028 S071 S072 S073 S119 S120 S122</x:v>
      </x:c>
    </x:row>
    <x:row r="61" ht="64" customHeight="1">
      <x:c r="A61" s="15" t="n">
        <x:v>56</x:v>
      </x:c>
      <x:c r="B61" s="15" t="str">
        <x:v>C15</x:v>
      </x:c>
      <x:c r="C61" s="15" t="str">
        <x:v>C12</x:v>
      </x:c>
      <x:c r="D61" s="15" t="str">
        <x:v>An Expert Resume</x:v>
      </x:c>
      <x:c r="E61" s="15" t="str">
        <x:v>iCareerSolutions</x:v>
      </x:c>
      <x:c r="F61" s="34" t="n">
        <x:f>'Score Inputs'!L20</x:f>
        <x:v>84.25</x:v>
      </x:c>
      <x:c r="G61" s="34" t="n">
        <x:f>'Score Inputs'!L17</x:f>
        <x:v>80.5</x:v>
      </x:c>
      <x:c r="H61" s="34" t="n">
        <x:f>F61-G61</x:f>
        <x:v>3.75</x:v>
      </x:c>
      <x:c r="I61" s="15" t="str">
        <x:f>IF(F61=G61,"Tie",IF(F61&gt;G61,D61,E61))</x:f>
        <x:v>An Expert Resume</x:v>
      </x:c>
      <x:c r="J61" s="15" t="str">
        <x:f>IF(H61=0,"Exact score tie",IF(ABS(H61)&lt;2,"Close editorial call","Model preference"))</x:f>
        <x:v>Model preference</x:v>
      </x:c>
      <x:c r="K61" s="15" t="str">
        <x:v>S055 S056 S057 S058 S059 S071 S072 S073 S119 S120</x:v>
      </x:c>
    </x:row>
    <x:row r="62" ht="64" customHeight="1">
      <x:c r="A62" s="15" t="n">
        <x:v>57</x:v>
      </x:c>
      <x:c r="B62" s="15" t="str">
        <x:v>C15</x:v>
      </x:c>
      <x:c r="C62" s="15" t="str">
        <x:v>C01</x:v>
      </x:c>
      <x:c r="D62" s="15" t="str">
        <x:v>An Expert Resume</x:v>
      </x:c>
      <x:c r="E62" s="15" t="str">
        <x:v>Let’s Eat, Grandma</x:v>
      </x:c>
      <x:c r="F62" s="34" t="n">
        <x:f>'Score Inputs'!L20</x:f>
        <x:v>84.25</x:v>
      </x:c>
      <x:c r="G62" s="34" t="n">
        <x:f>'Score Inputs'!L6</x:f>
        <x:v>80.25</x:v>
      </x:c>
      <x:c r="H62" s="34" t="n">
        <x:f>F62-G62</x:f>
        <x:v>4</x:v>
      </x:c>
      <x:c r="I62" s="15" t="str">
        <x:f>IF(F62=G62,"Tie",IF(F62&gt;G62,D62,E62))</x:f>
        <x:v>An Expert Resume</x:v>
      </x:c>
      <x:c r="J62" s="15" t="str">
        <x:f>IF(H62=0,"Exact score tie",IF(ABS(H62)&lt;2,"Close editorial call","Model preference"))</x:f>
        <x:v>Model preference</x:v>
      </x:c>
      <x:c r="K62" s="15" t="str">
        <x:v>S001 S002 S003 S004 S071 S072 S073 S119 S120</x:v>
      </x:c>
    </x:row>
    <x:row r="63" ht="64" customHeight="1">
      <x:c r="A63" s="15" t="n">
        <x:v>58</x:v>
      </x:c>
      <x:c r="B63" s="15" t="str">
        <x:v>C15</x:v>
      </x:c>
      <x:c r="C63" s="15" t="str">
        <x:v>C22</x:v>
      </x:c>
      <x:c r="D63" s="15" t="str">
        <x:v>An Expert Resume</x:v>
      </x:c>
      <x:c r="E63" s="15" t="str">
        <x:v>Briefcase Coach</x:v>
      </x:c>
      <x:c r="F63" s="34" t="n">
        <x:f>'Score Inputs'!L20</x:f>
        <x:v>84.25</x:v>
      </x:c>
      <x:c r="G63" s="34" t="n">
        <x:f>'Score Inputs'!L27</x:f>
        <x:v>79.25</x:v>
      </x:c>
      <x:c r="H63" s="34" t="n">
        <x:f>F63-G63</x:f>
        <x:v>5</x:v>
      </x:c>
      <x:c r="I63" s="15" t="str">
        <x:f>IF(F63=G63,"Tie",IF(F63&gt;G63,D63,E63))</x:f>
        <x:v>An Expert Resume</x:v>
      </x:c>
      <x:c r="J63" s="15" t="str">
        <x:f>IF(H63=0,"Exact score tie",IF(ABS(H63)&lt;2,"Close editorial call","Model preference"))</x:f>
        <x:v>Model preference</x:v>
      </x:c>
      <x:c r="K63" s="15" t="str">
        <x:v>S071 S072 S073 S097 S098 S109 S110 S119 S120</x:v>
      </x:c>
    </x:row>
    <x:row r="64" ht="64" customHeight="1">
      <x:c r="A64" s="15" t="n">
        <x:v>59</x:v>
      </x:c>
      <x:c r="B64" s="15" t="str">
        <x:v>C15</x:v>
      </x:c>
      <x:c r="C64" s="15" t="str">
        <x:v>C21</x:v>
      </x:c>
      <x:c r="D64" s="15" t="str">
        <x:v>An Expert Resume</x:v>
      </x:c>
      <x:c r="E64" s="15" t="str">
        <x:v>Blue Sky Resumes</x:v>
      </x:c>
      <x:c r="F64" s="34" t="n">
        <x:f>'Score Inputs'!L20</x:f>
        <x:v>84.25</x:v>
      </x:c>
      <x:c r="G64" s="34" t="n">
        <x:f>'Score Inputs'!L26</x:f>
        <x:v>79.25</x:v>
      </x:c>
      <x:c r="H64" s="34" t="n">
        <x:f>F64-G64</x:f>
        <x:v>5</x:v>
      </x:c>
      <x:c r="I64" s="15" t="str">
        <x:f>IF(F64=G64,"Tie",IF(F64&gt;G64,D64,E64))</x:f>
        <x:v>An Expert Resume</x:v>
      </x:c>
      <x:c r="J64" s="15" t="str">
        <x:f>IF(H64=0,"Exact score tie",IF(ABS(H64)&lt;2,"Close editorial call","Model preference"))</x:f>
        <x:v>Model preference</x:v>
      </x:c>
      <x:c r="K64" s="15" t="str">
        <x:v>S071 S072 S073 S095 S096 S111 S112 S119 S120</x:v>
      </x:c>
    </x:row>
    <x:row r="65" ht="64" customHeight="1">
      <x:c r="A65" s="15" t="n">
        <x:v>60</x:v>
      </x:c>
      <x:c r="B65" s="15" t="str">
        <x:v>C15</x:v>
      </x:c>
      <x:c r="C65" s="15" t="str">
        <x:v>C19</x:v>
      </x:c>
      <x:c r="D65" s="15" t="str">
        <x:v>An Expert Resume</x:v>
      </x:c>
      <x:c r="E65" s="15" t="str">
        <x:v>CareerProPlus / CareerPro Global</x:v>
      </x:c>
      <x:c r="F65" s="34" t="n">
        <x:f>'Score Inputs'!L20</x:f>
        <x:v>84.25</x:v>
      </x:c>
      <x:c r="G65" s="34" t="n">
        <x:f>'Score Inputs'!L24</x:f>
        <x:v>77.5</x:v>
      </x:c>
      <x:c r="H65" s="34" t="n">
        <x:f>F65-G65</x:f>
        <x:v>6.75</x:v>
      </x:c>
      <x:c r="I65" s="15" t="str">
        <x:f>IF(F65=G65,"Tie",IF(F65&gt;G65,D65,E65))</x:f>
        <x:v>An Expert Resume</x:v>
      </x:c>
      <x:c r="J65" s="15" t="str">
        <x:f>IF(H65=0,"Exact score tie",IF(ABS(H65)&lt;2,"Close editorial call","Model preference"))</x:f>
        <x:v>Model preference</x:v>
      </x:c>
      <x:c r="K65" s="15" t="str">
        <x:v>S071 S072 S073 S089 S090 S091 S092 S119 S120</x:v>
      </x:c>
    </x:row>
    <x:row r="66" ht="64" customHeight="1">
      <x:c r="A66" s="15" t="n">
        <x:v>61</x:v>
      </x:c>
      <x:c r="B66" s="15" t="str">
        <x:v>C15</x:v>
      </x:c>
      <x:c r="C66" s="15" t="str">
        <x:v>C24</x:v>
      </x:c>
      <x:c r="D66" s="15" t="str">
        <x:v>An Expert Resume</x:v>
      </x:c>
      <x:c r="E66" s="15" t="str">
        <x:v>Scientech Resumes / Scientech Career Systems</x:v>
      </x:c>
      <x:c r="F66" s="34" t="n">
        <x:f>'Score Inputs'!L20</x:f>
        <x:v>84.25</x:v>
      </x:c>
      <x:c r="G66" s="34" t="n">
        <x:f>'Score Inputs'!L29</x:f>
        <x:v>77.25</x:v>
      </x:c>
      <x:c r="H66" s="34" t="n">
        <x:f>F66-G66</x:f>
        <x:v>7</x:v>
      </x:c>
      <x:c r="I66" s="15" t="str">
        <x:f>IF(F66=G66,"Tie",IF(F66&gt;G66,D66,E66))</x:f>
        <x:v>An Expert Resume</x:v>
      </x:c>
      <x:c r="J66" s="15" t="str">
        <x:f>IF(H66=0,"Exact score tie",IF(ABS(H66)&lt;2,"Close editorial call","Model preference"))</x:f>
        <x:v>Model preference</x:v>
      </x:c>
      <x:c r="K66" s="15" t="str">
        <x:v>S071 S072 S073 S102 S104 S113 S114 S119 S120</x:v>
      </x:c>
    </x:row>
    <x:row r="67" ht="64" customHeight="1">
      <x:c r="A67" s="15" t="n">
        <x:v>62</x:v>
      </x:c>
      <x:c r="B67" s="15" t="str">
        <x:v>C15</x:v>
      </x:c>
      <x:c r="C67" s="15" t="str">
        <x:v>C03</x:v>
      </x:c>
      <x:c r="D67" s="15" t="str">
        <x:v>An Expert Resume</x:v>
      </x:c>
      <x:c r="E67" s="15" t="str">
        <x:v>TopStack Resume</x:v>
      </x:c>
      <x:c r="F67" s="34" t="n">
        <x:f>'Score Inputs'!L20</x:f>
        <x:v>84.25</x:v>
      </x:c>
      <x:c r="G67" s="34" t="n">
        <x:f>'Score Inputs'!L8</x:f>
        <x:v>76.75</x:v>
      </x:c>
      <x:c r="H67" s="34" t="n">
        <x:f>F67-G67</x:f>
        <x:v>7.5</x:v>
      </x:c>
      <x:c r="I67" s="15" t="str">
        <x:f>IF(F67=G67,"Tie",IF(F67&gt;G67,D67,E67))</x:f>
        <x:v>An Expert Resume</x:v>
      </x:c>
      <x:c r="J67" s="15" t="str">
        <x:f>IF(H67=0,"Exact score tie",IF(ABS(H67)&lt;2,"Close editorial call","Model preference"))</x:f>
        <x:v>Model preference</x:v>
      </x:c>
      <x:c r="K67" s="15" t="str">
        <x:v>S010 S011 S012 S013 S071 S072 S073 S108 S119 S120</x:v>
      </x:c>
    </x:row>
    <x:row r="68" ht="64" customHeight="1">
      <x:c r="A68" s="15" t="n">
        <x:v>63</x:v>
      </x:c>
      <x:c r="B68" s="15" t="str">
        <x:v>C15</x:v>
      </x:c>
      <x:c r="C68" s="15" t="str">
        <x:v>C08</x:v>
      </x:c>
      <x:c r="D68" s="15" t="str">
        <x:v>An Expert Resume</x:v>
      </x:c>
      <x:c r="E68" s="15" t="str">
        <x:v>The Resume Place</x:v>
      </x:c>
      <x:c r="F68" s="34" t="n">
        <x:f>'Score Inputs'!L20</x:f>
        <x:v>84.25</x:v>
      </x:c>
      <x:c r="G68" s="34" t="n">
        <x:f>'Score Inputs'!L13</x:f>
        <x:v>76.75</x:v>
      </x:c>
      <x:c r="H68" s="34" t="n">
        <x:f>F68-G68</x:f>
        <x:v>7.5</x:v>
      </x:c>
      <x:c r="I68" s="15" t="str">
        <x:f>IF(F68=G68,"Tie",IF(F68&gt;G68,D68,E68))</x:f>
        <x:v>An Expert Resume</x:v>
      </x:c>
      <x:c r="J68" s="15" t="str">
        <x:f>IF(H68=0,"Exact score tie",IF(ABS(H68)&lt;2,"Close editorial call","Model preference"))</x:f>
        <x:v>Model preference</x:v>
      </x:c>
      <x:c r="K68" s="15" t="str">
        <x:v>S037 S038 S039 S040 S066 S071 S072 S073 S119 S120</x:v>
      </x:c>
    </x:row>
    <x:row r="69" ht="64" customHeight="1">
      <x:c r="A69" s="15" t="n">
        <x:v>64</x:v>
      </x:c>
      <x:c r="B69" s="15" t="str">
        <x:v>C15</x:v>
      </x:c>
      <x:c r="C69" s="15" t="str">
        <x:v>C23</x:v>
      </x:c>
      <x:c r="D69" s="15" t="str">
        <x:v>An Expert Resume</x:v>
      </x:c>
      <x:c r="E69" s="15" t="str">
        <x:v>Klaxos</x:v>
      </x:c>
      <x:c r="F69" s="34" t="n">
        <x:f>'Score Inputs'!L20</x:f>
        <x:v>84.25</x:v>
      </x:c>
      <x:c r="G69" s="34" t="n">
        <x:f>'Score Inputs'!L28</x:f>
        <x:v>75.75</x:v>
      </x:c>
      <x:c r="H69" s="34" t="n">
        <x:f>F69-G69</x:f>
        <x:v>8.5</x:v>
      </x:c>
      <x:c r="I69" s="15" t="str">
        <x:f>IF(F69=G69,"Tie",IF(F69&gt;G69,D69,E69))</x:f>
        <x:v>An Expert Resume</x:v>
      </x:c>
      <x:c r="J69" s="15" t="str">
        <x:f>IF(H69=0,"Exact score tie",IF(ABS(H69)&lt;2,"Close editorial call","Model preference"))</x:f>
        <x:v>Model preference</x:v>
      </x:c>
      <x:c r="K69" s="15" t="str">
        <x:v>S071 S072 S073 S099 S100 S101 S119 S120</x:v>
      </x:c>
    </x:row>
    <x:row r="70" ht="64" customHeight="1">
      <x:c r="A70" s="15" t="n">
        <x:v>65</x:v>
      </x:c>
      <x:c r="B70" s="15" t="str">
        <x:v>C15</x:v>
      </x:c>
      <x:c r="C70" s="15" t="str">
        <x:v>C04</x:v>
      </x:c>
      <x:c r="D70" s="15" t="str">
        <x:v>An Expert Resume</x:v>
      </x:c>
      <x:c r="E70" s="15" t="str">
        <x:v>Resumeble</x:v>
      </x:c>
      <x:c r="F70" s="34" t="n">
        <x:f>'Score Inputs'!L20</x:f>
        <x:v>84.25</x:v>
      </x:c>
      <x:c r="G70" s="34" t="n">
        <x:f>'Score Inputs'!L9</x:f>
        <x:v>74.5</x:v>
      </x:c>
      <x:c r="H70" s="34" t="n">
        <x:f>F70-G70</x:f>
        <x:v>9.75</x:v>
      </x:c>
      <x:c r="I70" s="15" t="str">
        <x:f>IF(F70=G70,"Tie",IF(F70&gt;G70,D70,E70))</x:f>
        <x:v>An Expert Resume</x:v>
      </x:c>
      <x:c r="J70" s="15" t="str">
        <x:f>IF(H70=0,"Exact score tie",IF(ABS(H70)&lt;2,"Close editorial call","Model preference"))</x:f>
        <x:v>Model preference</x:v>
      </x:c>
      <x:c r="K70" s="15" t="str">
        <x:v>S014 S015 S016 S017 S018 S019 S071 S072 S073 S119 S120</x:v>
      </x:c>
    </x:row>
    <x:row r="71" ht="64" customHeight="1">
      <x:c r="A71" s="15" t="n">
        <x:v>66</x:v>
      </x:c>
      <x:c r="B71" s="15" t="str">
        <x:v>C15</x:v>
      </x:c>
      <x:c r="C71" s="15" t="str">
        <x:v>C16</x:v>
      </x:c>
      <x:c r="D71" s="15" t="str">
        <x:v>An Expert Resume</x:v>
      </x:c>
      <x:c r="E71" s="15" t="str">
        <x:v>Resume Target</x:v>
      </x:c>
      <x:c r="F71" s="34" t="n">
        <x:f>'Score Inputs'!L20</x:f>
        <x:v>84.25</x:v>
      </x:c>
      <x:c r="G71" s="34" t="n">
        <x:f>'Score Inputs'!L21</x:f>
        <x:v>74.5</x:v>
      </x:c>
      <x:c r="H71" s="34" t="n">
        <x:f>F71-G71</x:f>
        <x:v>9.75</x:v>
      </x:c>
      <x:c r="I71" s="15" t="str">
        <x:f>IF(F71=G71,"Tie",IF(F71&gt;G71,D71,E71))</x:f>
        <x:v>An Expert Resume</x:v>
      </x:c>
      <x:c r="J71" s="15" t="str">
        <x:f>IF(H71=0,"Exact score tie",IF(ABS(H71)&lt;2,"Close editorial call","Model preference"))</x:f>
        <x:v>Model preference</x:v>
      </x:c>
      <x:c r="K71" s="15" t="str">
        <x:v>S071 S072 S073 S075 S076 S077 S078 S119 S120</x:v>
      </x:c>
    </x:row>
    <x:row r="72" ht="64" customHeight="1">
      <x:c r="A72" s="15" t="n">
        <x:v>67</x:v>
      </x:c>
      <x:c r="B72" s="15" t="str">
        <x:v>C15</x:v>
      </x:c>
      <x:c r="C72" s="15" t="str">
        <x:v>C11</x:v>
      </x:c>
      <x:c r="D72" s="15" t="str">
        <x:v>An Expert Resume</x:v>
      </x:c>
      <x:c r="E72" s="15" t="str">
        <x:v>Resume Professional Writers</x:v>
      </x:c>
      <x:c r="F72" s="34" t="n">
        <x:f>'Score Inputs'!L20</x:f>
        <x:v>84.25</x:v>
      </x:c>
      <x:c r="G72" s="34" t="n">
        <x:f>'Score Inputs'!L16</x:f>
        <x:v>65.75</x:v>
      </x:c>
      <x:c r="H72" s="34" t="n">
        <x:f>F72-G72</x:f>
        <x:v>18.5</x:v>
      </x:c>
      <x:c r="I72" s="15" t="str">
        <x:f>IF(F72=G72,"Tie",IF(F72&gt;G72,D72,E72))</x:f>
        <x:v>An Expert Resume</x:v>
      </x:c>
      <x:c r="J72" s="15" t="str">
        <x:f>IF(H72=0,"Exact score tie",IF(ABS(H72)&lt;2,"Close editorial call","Model preference"))</x:f>
        <x:v>Model preference</x:v>
      </x:c>
      <x:c r="K72" s="15" t="str">
        <x:v>S051 S052 S053 S054 S071 S072 S073 S119 S120</x:v>
      </x:c>
    </x:row>
    <x:row r="73" ht="64" customHeight="1">
      <x:c r="A73" s="15" t="n">
        <x:v>68</x:v>
      </x:c>
      <x:c r="B73" s="15" t="str">
        <x:v>C15</x:v>
      </x:c>
      <x:c r="C73" s="15" t="str">
        <x:v>C07</x:v>
      </x:c>
      <x:c r="D73" s="15" t="str">
        <x:v>An Expert Resume</x:v>
      </x:c>
      <x:c r="E73" s="15" t="str">
        <x:v>TopResume</x:v>
      </x:c>
      <x:c r="F73" s="34" t="n">
        <x:f>'Score Inputs'!L20</x:f>
        <x:v>84.25</x:v>
      </x:c>
      <x:c r="G73" s="34" t="n">
        <x:f>'Score Inputs'!L12</x:f>
        <x:v>62.75</x:v>
      </x:c>
      <x:c r="H73" s="34" t="n">
        <x:f>F73-G73</x:f>
        <x:v>21.5</x:v>
      </x:c>
      <x:c r="I73" s="15" t="str">
        <x:f>IF(F73=G73,"Tie",IF(F73&gt;G73,D73,E73))</x:f>
        <x:v>An Expert Resume</x:v>
      </x:c>
      <x:c r="J73" s="15" t="str">
        <x:f>IF(H73=0,"Exact score tie",IF(ABS(H73)&lt;2,"Close editorial call","Model preference"))</x:f>
        <x:v>Model preference</x:v>
      </x:c>
      <x:c r="K73" s="15" t="str">
        <x:v>S029 S030 S031 S032 S034 S035 S036 S071 S072 S073 S119 S120</x:v>
      </x:c>
    </x:row>
    <x:row r="74" ht="64" customHeight="1">
      <x:c r="A74" s="15" t="n">
        <x:v>69</x:v>
      </x:c>
      <x:c r="B74" s="15" t="str">
        <x:v>C15</x:v>
      </x:c>
      <x:c r="C74" s="15" t="str">
        <x:v>C14</x:v>
      </x:c>
      <x:c r="D74" s="15" t="str">
        <x:v>An Expert Resume</x:v>
      </x:c>
      <x:c r="E74" s="15" t="str">
        <x:v>Resume Writing Group</x:v>
      </x:c>
      <x:c r="F74" s="34" t="n">
        <x:f>'Score Inputs'!L20</x:f>
        <x:v>84.25</x:v>
      </x:c>
      <x:c r="G74" s="34" t="n">
        <x:f>'Score Inputs'!L19</x:f>
        <x:v>59.75</x:v>
      </x:c>
      <x:c r="H74" s="34" t="n">
        <x:f>F74-G74</x:f>
        <x:v>24.5</x:v>
      </x:c>
      <x:c r="I74" s="15" t="str">
        <x:f>IF(F74=G74,"Tie",IF(F74&gt;G74,D74,E74))</x:f>
        <x:v>An Expert Resume</x:v>
      </x:c>
      <x:c r="J74" s="15" t="str">
        <x:f>IF(H74=0,"Exact score tie",IF(ABS(H74)&lt;2,"Close editorial call","Model preference"))</x:f>
        <x:v>Model preference</x:v>
      </x:c>
      <x:c r="K74" s="15" t="str">
        <x:v>S067 S068 S069 S070 S071 S072 S073 S119 S120</x:v>
      </x:c>
    </x:row>
    <x:row r="75" ht="64" customHeight="1">
      <x:c r="A75" s="15" t="n">
        <x:v>70</x:v>
      </x:c>
      <x:c r="B75" s="15" t="str">
        <x:v>C13</x:v>
      </x:c>
      <x:c r="C75" s="15" t="str">
        <x:v>C17</x:v>
      </x:c>
      <x:c r="D75" s="15" t="str">
        <x:v>Distinctive Career Services</x:v>
      </x:c>
      <x:c r="E75" s="15" t="str">
        <x:v>The Writing Guru</x:v>
      </x:c>
      <x:c r="F75" s="34" t="n">
        <x:f>'Score Inputs'!L18</x:f>
        <x:v>82.75</x:v>
      </x:c>
      <x:c r="G75" s="34" t="n">
        <x:f>'Score Inputs'!L22</x:f>
        <x:v>82.5</x:v>
      </x:c>
      <x:c r="H75" s="34" t="n">
        <x:f>F75-G75</x:f>
        <x:v>0.25</x:v>
      </x:c>
      <x:c r="I75" s="15" t="str">
        <x:f>IF(F75=G75,"Tie",IF(F75&gt;G75,D75,E75))</x:f>
        <x:v>Distinctive Career Services</x:v>
      </x:c>
      <x:c r="J75" s="15" t="str">
        <x:f>IF(H75=0,"Exact score tie",IF(ABS(H75)&lt;2,"Close editorial call","Model preference"))</x:f>
        <x:v>Close editorial call</x:v>
      </x:c>
      <x:c r="K75" s="15" t="str">
        <x:v>S060 S061 S062 S063 S064 S066 S079 S080 S082 S083 S116 S117 S120 S121</x:v>
      </x:c>
    </x:row>
    <x:row r="76" ht="64" customHeight="1">
      <x:c r="A76" s="15" t="n">
        <x:v>71</x:v>
      </x:c>
      <x:c r="B76" s="15" t="str">
        <x:v>C13</x:v>
      </x:c>
      <x:c r="C76" s="15" t="str">
        <x:v>C20</x:v>
      </x:c>
      <x:c r="D76" s="15" t="str">
        <x:v>Distinctive Career Services</x:v>
      </x:c>
      <x:c r="E76" s="15" t="str">
        <x:v>Career Steering</x:v>
      </x:c>
      <x:c r="F76" s="34" t="n">
        <x:f>'Score Inputs'!L18</x:f>
        <x:v>82.75</x:v>
      </x:c>
      <x:c r="G76" s="34" t="n">
        <x:f>'Score Inputs'!L25</x:f>
        <x:v>82.25</x:v>
      </x:c>
      <x:c r="H76" s="34" t="n">
        <x:f>F76-G76</x:f>
        <x:v>0.5</x:v>
      </x:c>
      <x:c r="I76" s="15" t="str">
        <x:f>IF(F76=G76,"Tie",IF(F76&gt;G76,D76,E76))</x:f>
        <x:v>Distinctive Career Services</x:v>
      </x:c>
      <x:c r="J76" s="15" t="str">
        <x:f>IF(H76=0,"Exact score tie",IF(ABS(H76)&lt;2,"Close editorial call","Model preference"))</x:f>
        <x:v>Close editorial call</x:v>
      </x:c>
      <x:c r="K76" s="15" t="str">
        <x:v>S060 S061 S062 S063 S064 S066 S093 S117 S118 S120</x:v>
      </x:c>
    </x:row>
    <x:row r="77" ht="64" customHeight="1">
      <x:c r="A77" s="15" t="n">
        <x:v>72</x:v>
      </x:c>
      <x:c r="B77" s="15" t="str">
        <x:v>C13</x:v>
      </x:c>
      <x:c r="C77" s="15" t="str">
        <x:v>C05</x:v>
      </x:c>
      <x:c r="D77" s="15" t="str">
        <x:v>Distinctive Career Services</x:v>
      </x:c>
      <x:c r="E77" s="15" t="str">
        <x:v>ResumeSpice</x:v>
      </x:c>
      <x:c r="F77" s="34" t="n">
        <x:f>'Score Inputs'!L18</x:f>
        <x:v>82.75</x:v>
      </x:c>
      <x:c r="G77" s="34" t="n">
        <x:f>'Score Inputs'!L10</x:f>
        <x:v>82</x:v>
      </x:c>
      <x:c r="H77" s="34" t="n">
        <x:f>F77-G77</x:f>
        <x:v>0.75</x:v>
      </x:c>
      <x:c r="I77" s="15" t="str">
        <x:f>IF(F77=G77,"Tie",IF(F77&gt;G77,D77,E77))</x:f>
        <x:v>Distinctive Career Services</x:v>
      </x:c>
      <x:c r="J77" s="15" t="str">
        <x:f>IF(H77=0,"Exact score tie",IF(ABS(H77)&lt;2,"Close editorial call","Model preference"))</x:f>
        <x:v>Close editorial call</x:v>
      </x:c>
      <x:c r="K77" s="15" t="str">
        <x:v>S020 S021 S022 S023 S024 S060 S061 S062 S063 S064 S066 S117 S120</x:v>
      </x:c>
    </x:row>
    <x:row r="78" ht="64" customHeight="1">
      <x:c r="A78" s="15" t="n">
        <x:v>73</x:v>
      </x:c>
      <x:c r="B78" s="15" t="str">
        <x:v>C13</x:v>
      </x:c>
      <x:c r="C78" s="15" t="str">
        <x:v>C02</x:v>
      </x:c>
      <x:c r="D78" s="15" t="str">
        <x:v>Distinctive Career Services</x:v>
      </x:c>
      <x:c r="E78" s="15" t="str">
        <x:v>Find My Profession</x:v>
      </x:c>
      <x:c r="F78" s="34" t="n">
        <x:f>'Score Inputs'!L18</x:f>
        <x:v>82.75</x:v>
      </x:c>
      <x:c r="G78" s="34" t="n">
        <x:f>'Score Inputs'!L7</x:f>
        <x:v>80.75</x:v>
      </x:c>
      <x:c r="H78" s="34" t="n">
        <x:f>F78-G78</x:f>
        <x:v>2</x:v>
      </x:c>
      <x:c r="I78" s="15" t="str">
        <x:f>IF(F78=G78,"Tie",IF(F78&gt;G78,D78,E78))</x:f>
        <x:v>Distinctive Career Services</x:v>
      </x:c>
      <x:c r="J78" s="15" t="str">
        <x:f>IF(H78=0,"Exact score tie",IF(ABS(H78)&lt;2,"Close editorial call","Model preference"))</x:f>
        <x:v>Model preference</x:v>
      </x:c>
      <x:c r="K78" s="15" t="str">
        <x:v>S005 S007 S008 S009 S060 S061 S062 S063 S064 S066 S117 S120 S123</x:v>
      </x:c>
    </x:row>
    <x:row r="79" ht="64" customHeight="1">
      <x:c r="A79" s="15" t="n">
        <x:v>74</x:v>
      </x:c>
      <x:c r="B79" s="15" t="str">
        <x:v>C13</x:v>
      </x:c>
      <x:c r="C79" s="15" t="str">
        <x:v>C25</x:v>
      </x:c>
      <x:c r="D79" s="15" t="str">
        <x:v>Distinctive Career Services</x:v>
      </x:c>
      <x:c r="E79" s="15" t="str">
        <x:v>Employment BOOST</x:v>
      </x:c>
      <x:c r="F79" s="34" t="n">
        <x:f>'Score Inputs'!L18</x:f>
        <x:v>82.75</x:v>
      </x:c>
      <x:c r="G79" s="34" t="n">
        <x:f>'Score Inputs'!L30</x:f>
        <x:v>80.5</x:v>
      </x:c>
      <x:c r="H79" s="34" t="n">
        <x:f>F79-G79</x:f>
        <x:v>2.25</x:v>
      </x:c>
      <x:c r="I79" s="15" t="str">
        <x:f>IF(F79=G79,"Tie",IF(F79&gt;G79,D79,E79))</x:f>
        <x:v>Distinctive Career Services</x:v>
      </x:c>
      <x:c r="J79" s="15" t="str">
        <x:f>IF(H79=0,"Exact score tie",IF(ABS(H79)&lt;2,"Close editorial call","Model preference"))</x:f>
        <x:v>Model preference</x:v>
      </x:c>
      <x:c r="K79" s="15" t="str">
        <x:v>S060 S061 S062 S063 S064 S066 S105 S106 S107 S115 S117 S120</x:v>
      </x:c>
    </x:row>
    <x:row r="80" ht="64" customHeight="1">
      <x:c r="A80" s="15" t="n">
        <x:v>75</x:v>
      </x:c>
      <x:c r="B80" s="15" t="str">
        <x:v>C13</x:v>
      </x:c>
      <x:c r="C80" s="15" t="str">
        <x:v>C10</x:v>
      </x:c>
      <x:c r="D80" s="15" t="str">
        <x:v>Distinctive Career Services</x:v>
      </x:c>
      <x:c r="E80" s="15" t="str">
        <x:v>JobStars USA</x:v>
      </x:c>
      <x:c r="F80" s="34" t="n">
        <x:f>'Score Inputs'!L18</x:f>
        <x:v>82.75</x:v>
      </x:c>
      <x:c r="G80" s="34" t="n">
        <x:f>'Score Inputs'!L15</x:f>
        <x:v>80.5</x:v>
      </x:c>
      <x:c r="H80" s="34" t="n">
        <x:f>F80-G80</x:f>
        <x:v>2.25</x:v>
      </x:c>
      <x:c r="I80" s="15" t="str">
        <x:f>IF(F80=G80,"Tie",IF(F80&gt;G80,D80,E80))</x:f>
        <x:v>Distinctive Career Services</x:v>
      </x:c>
      <x:c r="J80" s="15" t="str">
        <x:f>IF(H80=0,"Exact score tie",IF(ABS(H80)&lt;2,"Close editorial call","Model preference"))</x:f>
        <x:v>Model preference</x:v>
      </x:c>
      <x:c r="K80" s="15" t="str">
        <x:v>S047 S048 S049 S050 S060 S061 S062 S063 S064 S066 S117 S120</x:v>
      </x:c>
    </x:row>
    <x:row r="81" ht="64" customHeight="1">
      <x:c r="A81" s="15" t="n">
        <x:v>76</x:v>
      </x:c>
      <x:c r="B81" s="15" t="str">
        <x:v>C13</x:v>
      </x:c>
      <x:c r="C81" s="15" t="str">
        <x:v>C06</x:v>
      </x:c>
      <x:c r="D81" s="15" t="str">
        <x:v>Distinctive Career Services</x:v>
      </x:c>
      <x:c r="E81" s="15" t="str">
        <x:v>Great Resumes Fast</x:v>
      </x:c>
      <x:c r="F81" s="34" t="n">
        <x:f>'Score Inputs'!L18</x:f>
        <x:v>82.75</x:v>
      </x:c>
      <x:c r="G81" s="34" t="n">
        <x:f>'Score Inputs'!L11</x:f>
        <x:v>80.5</x:v>
      </x:c>
      <x:c r="H81" s="34" t="n">
        <x:f>F81-G81</x:f>
        <x:v>2.25</x:v>
      </x:c>
      <x:c r="I81" s="15" t="str">
        <x:f>IF(F81=G81,"Tie",IF(F81&gt;G81,D81,E81))</x:f>
        <x:v>Distinctive Career Services</x:v>
      </x:c>
      <x:c r="J81" s="15" t="str">
        <x:f>IF(H81=0,"Exact score tie",IF(ABS(H81)&lt;2,"Close editorial call","Model preference"))</x:f>
        <x:v>Model preference</x:v>
      </x:c>
      <x:c r="K81" s="15" t="str">
        <x:v>S025 S026 S027 S028 S060 S061 S062 S063 S064 S066 S117 S120 S122</x:v>
      </x:c>
    </x:row>
    <x:row r="82" ht="64" customHeight="1">
      <x:c r="A82" s="15" t="n">
        <x:v>77</x:v>
      </x:c>
      <x:c r="B82" s="15" t="str">
        <x:v>C13</x:v>
      </x:c>
      <x:c r="C82" s="15" t="str">
        <x:v>C12</x:v>
      </x:c>
      <x:c r="D82" s="15" t="str">
        <x:v>Distinctive Career Services</x:v>
      </x:c>
      <x:c r="E82" s="15" t="str">
        <x:v>iCareerSolutions</x:v>
      </x:c>
      <x:c r="F82" s="34" t="n">
        <x:f>'Score Inputs'!L18</x:f>
        <x:v>82.75</x:v>
      </x:c>
      <x:c r="G82" s="34" t="n">
        <x:f>'Score Inputs'!L17</x:f>
        <x:v>80.5</x:v>
      </x:c>
      <x:c r="H82" s="34" t="n">
        <x:f>F82-G82</x:f>
        <x:v>2.25</x:v>
      </x:c>
      <x:c r="I82" s="15" t="str">
        <x:f>IF(F82=G82,"Tie",IF(F82&gt;G82,D82,E82))</x:f>
        <x:v>Distinctive Career Services</x:v>
      </x:c>
      <x:c r="J82" s="15" t="str">
        <x:f>IF(H82=0,"Exact score tie",IF(ABS(H82)&lt;2,"Close editorial call","Model preference"))</x:f>
        <x:v>Model preference</x:v>
      </x:c>
      <x:c r="K82" s="15" t="str">
        <x:v>S055 S056 S057 S058 S059 S060 S061 S062 S063 S064 S066 S117 S120</x:v>
      </x:c>
    </x:row>
    <x:row r="83" ht="64" customHeight="1">
      <x:c r="A83" s="15" t="n">
        <x:v>78</x:v>
      </x:c>
      <x:c r="B83" s="15" t="str">
        <x:v>C13</x:v>
      </x:c>
      <x:c r="C83" s="15" t="str">
        <x:v>C01</x:v>
      </x:c>
      <x:c r="D83" s="15" t="str">
        <x:v>Distinctive Career Services</x:v>
      </x:c>
      <x:c r="E83" s="15" t="str">
        <x:v>Let’s Eat, Grandma</x:v>
      </x:c>
      <x:c r="F83" s="34" t="n">
        <x:f>'Score Inputs'!L18</x:f>
        <x:v>82.75</x:v>
      </x:c>
      <x:c r="G83" s="34" t="n">
        <x:f>'Score Inputs'!L6</x:f>
        <x:v>80.25</x:v>
      </x:c>
      <x:c r="H83" s="34" t="n">
        <x:f>F83-G83</x:f>
        <x:v>2.5</x:v>
      </x:c>
      <x:c r="I83" s="15" t="str">
        <x:f>IF(F83=G83,"Tie",IF(F83&gt;G83,D83,E83))</x:f>
        <x:v>Distinctive Career Services</x:v>
      </x:c>
      <x:c r="J83" s="15" t="str">
        <x:f>IF(H83=0,"Exact score tie",IF(ABS(H83)&lt;2,"Close editorial call","Model preference"))</x:f>
        <x:v>Model preference</x:v>
      </x:c>
      <x:c r="K83" s="15" t="str">
        <x:v>S001 S002 S003 S004 S060 S061 S062 S063 S064 S066 S117 S120</x:v>
      </x:c>
    </x:row>
    <x:row r="84" ht="64" customHeight="1">
      <x:c r="A84" s="15" t="n">
        <x:v>79</x:v>
      </x:c>
      <x:c r="B84" s="15" t="str">
        <x:v>C13</x:v>
      </x:c>
      <x:c r="C84" s="15" t="str">
        <x:v>C22</x:v>
      </x:c>
      <x:c r="D84" s="15" t="str">
        <x:v>Distinctive Career Services</x:v>
      </x:c>
      <x:c r="E84" s="15" t="str">
        <x:v>Briefcase Coach</x:v>
      </x:c>
      <x:c r="F84" s="34" t="n">
        <x:f>'Score Inputs'!L18</x:f>
        <x:v>82.75</x:v>
      </x:c>
      <x:c r="G84" s="34" t="n">
        <x:f>'Score Inputs'!L27</x:f>
        <x:v>79.25</x:v>
      </x:c>
      <x:c r="H84" s="34" t="n">
        <x:f>F84-G84</x:f>
        <x:v>3.5</x:v>
      </x:c>
      <x:c r="I84" s="15" t="str">
        <x:f>IF(F84=G84,"Tie",IF(F84&gt;G84,D84,E84))</x:f>
        <x:v>Distinctive Career Services</x:v>
      </x:c>
      <x:c r="J84" s="15" t="str">
        <x:f>IF(H84=0,"Exact score tie",IF(ABS(H84)&lt;2,"Close editorial call","Model preference"))</x:f>
        <x:v>Model preference</x:v>
      </x:c>
      <x:c r="K84" s="15" t="str">
        <x:v>S060 S061 S062 S063 S064 S066 S097 S098 S109 S110 S117 S120</x:v>
      </x:c>
    </x:row>
    <x:row r="85" ht="64" customHeight="1">
      <x:c r="A85" s="15" t="n">
        <x:v>80</x:v>
      </x:c>
      <x:c r="B85" s="15" t="str">
        <x:v>C13</x:v>
      </x:c>
      <x:c r="C85" s="15" t="str">
        <x:v>C21</x:v>
      </x:c>
      <x:c r="D85" s="15" t="str">
        <x:v>Distinctive Career Services</x:v>
      </x:c>
      <x:c r="E85" s="15" t="str">
        <x:v>Blue Sky Resumes</x:v>
      </x:c>
      <x:c r="F85" s="34" t="n">
        <x:f>'Score Inputs'!L18</x:f>
        <x:v>82.75</x:v>
      </x:c>
      <x:c r="G85" s="34" t="n">
        <x:f>'Score Inputs'!L26</x:f>
        <x:v>79.25</x:v>
      </x:c>
      <x:c r="H85" s="34" t="n">
        <x:f>F85-G85</x:f>
        <x:v>3.5</x:v>
      </x:c>
      <x:c r="I85" s="15" t="str">
        <x:f>IF(F85=G85,"Tie",IF(F85&gt;G85,D85,E85))</x:f>
        <x:v>Distinctive Career Services</x:v>
      </x:c>
      <x:c r="J85" s="15" t="str">
        <x:f>IF(H85=0,"Exact score tie",IF(ABS(H85)&lt;2,"Close editorial call","Model preference"))</x:f>
        <x:v>Model preference</x:v>
      </x:c>
      <x:c r="K85" s="15" t="str">
        <x:v>S060 S061 S062 S063 S064 S066 S095 S096 S111 S112 S117 S120</x:v>
      </x:c>
    </x:row>
    <x:row r="86" ht="64" customHeight="1">
      <x:c r="A86" s="15" t="n">
        <x:v>81</x:v>
      </x:c>
      <x:c r="B86" s="15" t="str">
        <x:v>C13</x:v>
      </x:c>
      <x:c r="C86" s="15" t="str">
        <x:v>C19</x:v>
      </x:c>
      <x:c r="D86" s="15" t="str">
        <x:v>Distinctive Career Services</x:v>
      </x:c>
      <x:c r="E86" s="15" t="str">
        <x:v>CareerProPlus / CareerPro Global</x:v>
      </x:c>
      <x:c r="F86" s="34" t="n">
        <x:f>'Score Inputs'!L18</x:f>
        <x:v>82.75</x:v>
      </x:c>
      <x:c r="G86" s="34" t="n">
        <x:f>'Score Inputs'!L24</x:f>
        <x:v>77.5</x:v>
      </x:c>
      <x:c r="H86" s="34" t="n">
        <x:f>F86-G86</x:f>
        <x:v>5.25</x:v>
      </x:c>
      <x:c r="I86" s="15" t="str">
        <x:f>IF(F86=G86,"Tie",IF(F86&gt;G86,D86,E86))</x:f>
        <x:v>Distinctive Career Services</x:v>
      </x:c>
      <x:c r="J86" s="15" t="str">
        <x:f>IF(H86=0,"Exact score tie",IF(ABS(H86)&lt;2,"Close editorial call","Model preference"))</x:f>
        <x:v>Model preference</x:v>
      </x:c>
      <x:c r="K86" s="15" t="str">
        <x:v>S060 S061 S062 S063 S064 S066 S089 S090 S091 S092 S117 S120</x:v>
      </x:c>
    </x:row>
    <x:row r="87" ht="64" customHeight="1">
      <x:c r="A87" s="15" t="n">
        <x:v>82</x:v>
      </x:c>
      <x:c r="B87" s="15" t="str">
        <x:v>C13</x:v>
      </x:c>
      <x:c r="C87" s="15" t="str">
        <x:v>C24</x:v>
      </x:c>
      <x:c r="D87" s="15" t="str">
        <x:v>Distinctive Career Services</x:v>
      </x:c>
      <x:c r="E87" s="15" t="str">
        <x:v>Scientech Resumes / Scientech Career Systems</x:v>
      </x:c>
      <x:c r="F87" s="34" t="n">
        <x:f>'Score Inputs'!L18</x:f>
        <x:v>82.75</x:v>
      </x:c>
      <x:c r="G87" s="34" t="n">
        <x:f>'Score Inputs'!L29</x:f>
        <x:v>77.25</x:v>
      </x:c>
      <x:c r="H87" s="34" t="n">
        <x:f>F87-G87</x:f>
        <x:v>5.5</x:v>
      </x:c>
      <x:c r="I87" s="15" t="str">
        <x:f>IF(F87=G87,"Tie",IF(F87&gt;G87,D87,E87))</x:f>
        <x:v>Distinctive Career Services</x:v>
      </x:c>
      <x:c r="J87" s="15" t="str">
        <x:f>IF(H87=0,"Exact score tie",IF(ABS(H87)&lt;2,"Close editorial call","Model preference"))</x:f>
        <x:v>Model preference</x:v>
      </x:c>
      <x:c r="K87" s="15" t="str">
        <x:v>S060 S061 S062 S063 S064 S066 S102 S104 S113 S114 S117 S120</x:v>
      </x:c>
    </x:row>
    <x:row r="88" ht="64" customHeight="1">
      <x:c r="A88" s="15" t="n">
        <x:v>83</x:v>
      </x:c>
      <x:c r="B88" s="15" t="str">
        <x:v>C13</x:v>
      </x:c>
      <x:c r="C88" s="15" t="str">
        <x:v>C03</x:v>
      </x:c>
      <x:c r="D88" s="15" t="str">
        <x:v>Distinctive Career Services</x:v>
      </x:c>
      <x:c r="E88" s="15" t="str">
        <x:v>TopStack Resume</x:v>
      </x:c>
      <x:c r="F88" s="34" t="n">
        <x:f>'Score Inputs'!L18</x:f>
        <x:v>82.75</x:v>
      </x:c>
      <x:c r="G88" s="34" t="n">
        <x:f>'Score Inputs'!L8</x:f>
        <x:v>76.75</x:v>
      </x:c>
      <x:c r="H88" s="34" t="n">
        <x:f>F88-G88</x:f>
        <x:v>6</x:v>
      </x:c>
      <x:c r="I88" s="15" t="str">
        <x:f>IF(F88=G88,"Tie",IF(F88&gt;G88,D88,E88))</x:f>
        <x:v>Distinctive Career Services</x:v>
      </x:c>
      <x:c r="J88" s="15" t="str">
        <x:f>IF(H88=0,"Exact score tie",IF(ABS(H88)&lt;2,"Close editorial call","Model preference"))</x:f>
        <x:v>Model preference</x:v>
      </x:c>
      <x:c r="K88" s="15" t="str">
        <x:v>S010 S011 S012 S013 S060 S061 S062 S063 S064 S066 S108 S117 S120</x:v>
      </x:c>
    </x:row>
    <x:row r="89" ht="64" customHeight="1">
      <x:c r="A89" s="15" t="n">
        <x:v>84</x:v>
      </x:c>
      <x:c r="B89" s="15" t="str">
        <x:v>C13</x:v>
      </x:c>
      <x:c r="C89" s="15" t="str">
        <x:v>C08</x:v>
      </x:c>
      <x:c r="D89" s="15" t="str">
        <x:v>Distinctive Career Services</x:v>
      </x:c>
      <x:c r="E89" s="15" t="str">
        <x:v>The Resume Place</x:v>
      </x:c>
      <x:c r="F89" s="34" t="n">
        <x:f>'Score Inputs'!L18</x:f>
        <x:v>82.75</x:v>
      </x:c>
      <x:c r="G89" s="34" t="n">
        <x:f>'Score Inputs'!L13</x:f>
        <x:v>76.75</x:v>
      </x:c>
      <x:c r="H89" s="34" t="n">
        <x:f>F89-G89</x:f>
        <x:v>6</x:v>
      </x:c>
      <x:c r="I89" s="15" t="str">
        <x:f>IF(F89=G89,"Tie",IF(F89&gt;G89,D89,E89))</x:f>
        <x:v>Distinctive Career Services</x:v>
      </x:c>
      <x:c r="J89" s="15" t="str">
        <x:f>IF(H89=0,"Exact score tie",IF(ABS(H89)&lt;2,"Close editorial call","Model preference"))</x:f>
        <x:v>Model preference</x:v>
      </x:c>
      <x:c r="K89" s="15" t="str">
        <x:v>S037 S038 S039 S040 S060 S061 S062 S063 S064 S066 S117 S120</x:v>
      </x:c>
    </x:row>
    <x:row r="90" ht="64" customHeight="1">
      <x:c r="A90" s="15" t="n">
        <x:v>85</x:v>
      </x:c>
      <x:c r="B90" s="15" t="str">
        <x:v>C13</x:v>
      </x:c>
      <x:c r="C90" s="15" t="str">
        <x:v>C23</x:v>
      </x:c>
      <x:c r="D90" s="15" t="str">
        <x:v>Distinctive Career Services</x:v>
      </x:c>
      <x:c r="E90" s="15" t="str">
        <x:v>Klaxos</x:v>
      </x:c>
      <x:c r="F90" s="34" t="n">
        <x:f>'Score Inputs'!L18</x:f>
        <x:v>82.75</x:v>
      </x:c>
      <x:c r="G90" s="34" t="n">
        <x:f>'Score Inputs'!L28</x:f>
        <x:v>75.75</x:v>
      </x:c>
      <x:c r="H90" s="34" t="n">
        <x:f>F90-G90</x:f>
        <x:v>7</x:v>
      </x:c>
      <x:c r="I90" s="15" t="str">
        <x:f>IF(F90=G90,"Tie",IF(F90&gt;G90,D90,E90))</x:f>
        <x:v>Distinctive Career Services</x:v>
      </x:c>
      <x:c r="J90" s="15" t="str">
        <x:f>IF(H90=0,"Exact score tie",IF(ABS(H90)&lt;2,"Close editorial call","Model preference"))</x:f>
        <x:v>Model preference</x:v>
      </x:c>
      <x:c r="K90" s="15" t="str">
        <x:v>S060 S061 S062 S063 S064 S066 S099 S100 S101 S117 S120</x:v>
      </x:c>
    </x:row>
    <x:row r="91" ht="64" customHeight="1">
      <x:c r="A91" s="15" t="n">
        <x:v>86</x:v>
      </x:c>
      <x:c r="B91" s="15" t="str">
        <x:v>C13</x:v>
      </x:c>
      <x:c r="C91" s="15" t="str">
        <x:v>C04</x:v>
      </x:c>
      <x:c r="D91" s="15" t="str">
        <x:v>Distinctive Career Services</x:v>
      </x:c>
      <x:c r="E91" s="15" t="str">
        <x:v>Resumeble</x:v>
      </x:c>
      <x:c r="F91" s="34" t="n">
        <x:f>'Score Inputs'!L18</x:f>
        <x:v>82.75</x:v>
      </x:c>
      <x:c r="G91" s="34" t="n">
        <x:f>'Score Inputs'!L9</x:f>
        <x:v>74.5</x:v>
      </x:c>
      <x:c r="H91" s="34" t="n">
        <x:f>F91-G91</x:f>
        <x:v>8.25</x:v>
      </x:c>
      <x:c r="I91" s="15" t="str">
        <x:f>IF(F91=G91,"Tie",IF(F91&gt;G91,D91,E91))</x:f>
        <x:v>Distinctive Career Services</x:v>
      </x:c>
      <x:c r="J91" s="15" t="str">
        <x:f>IF(H91=0,"Exact score tie",IF(ABS(H91)&lt;2,"Close editorial call","Model preference"))</x:f>
        <x:v>Model preference</x:v>
      </x:c>
      <x:c r="K91" s="15" t="str">
        <x:v>S014 S015 S016 S017 S018 S019 S060 S061 S062 S063 S064 S066 S117 S120</x:v>
      </x:c>
    </x:row>
    <x:row r="92" ht="64" customHeight="1">
      <x:c r="A92" s="15" t="n">
        <x:v>87</x:v>
      </x:c>
      <x:c r="B92" s="15" t="str">
        <x:v>C13</x:v>
      </x:c>
      <x:c r="C92" s="15" t="str">
        <x:v>C16</x:v>
      </x:c>
      <x:c r="D92" s="15" t="str">
        <x:v>Distinctive Career Services</x:v>
      </x:c>
      <x:c r="E92" s="15" t="str">
        <x:v>Resume Target</x:v>
      </x:c>
      <x:c r="F92" s="34" t="n">
        <x:f>'Score Inputs'!L18</x:f>
        <x:v>82.75</x:v>
      </x:c>
      <x:c r="G92" s="34" t="n">
        <x:f>'Score Inputs'!L21</x:f>
        <x:v>74.5</x:v>
      </x:c>
      <x:c r="H92" s="34" t="n">
        <x:f>F92-G92</x:f>
        <x:v>8.25</x:v>
      </x:c>
      <x:c r="I92" s="15" t="str">
        <x:f>IF(F92=G92,"Tie",IF(F92&gt;G92,D92,E92))</x:f>
        <x:v>Distinctive Career Services</x:v>
      </x:c>
      <x:c r="J92" s="15" t="str">
        <x:f>IF(H92=0,"Exact score tie",IF(ABS(H92)&lt;2,"Close editorial call","Model preference"))</x:f>
        <x:v>Model preference</x:v>
      </x:c>
      <x:c r="K92" s="15" t="str">
        <x:v>S060 S061 S062 S063 S064 S066 S075 S076 S077 S078 S117 S120</x:v>
      </x:c>
    </x:row>
    <x:row r="93" ht="64" customHeight="1">
      <x:c r="A93" s="15" t="n">
        <x:v>88</x:v>
      </x:c>
      <x:c r="B93" s="15" t="str">
        <x:v>C13</x:v>
      </x:c>
      <x:c r="C93" s="15" t="str">
        <x:v>C11</x:v>
      </x:c>
      <x:c r="D93" s="15" t="str">
        <x:v>Distinctive Career Services</x:v>
      </x:c>
      <x:c r="E93" s="15" t="str">
        <x:v>Resume Professional Writers</x:v>
      </x:c>
      <x:c r="F93" s="34" t="n">
        <x:f>'Score Inputs'!L18</x:f>
        <x:v>82.75</x:v>
      </x:c>
      <x:c r="G93" s="34" t="n">
        <x:f>'Score Inputs'!L16</x:f>
        <x:v>65.75</x:v>
      </x:c>
      <x:c r="H93" s="34" t="n">
        <x:f>F93-G93</x:f>
        <x:v>17</x:v>
      </x:c>
      <x:c r="I93" s="15" t="str">
        <x:f>IF(F93=G93,"Tie",IF(F93&gt;G93,D93,E93))</x:f>
        <x:v>Distinctive Career Services</x:v>
      </x:c>
      <x:c r="J93" s="15" t="str">
        <x:f>IF(H93=0,"Exact score tie",IF(ABS(H93)&lt;2,"Close editorial call","Model preference"))</x:f>
        <x:v>Model preference</x:v>
      </x:c>
      <x:c r="K93" s="15" t="str">
        <x:v>S051 S052 S053 S054 S060 S061 S062 S063 S064 S066 S117 S120</x:v>
      </x:c>
    </x:row>
    <x:row r="94" ht="64" customHeight="1">
      <x:c r="A94" s="15" t="n">
        <x:v>89</x:v>
      </x:c>
      <x:c r="B94" s="15" t="str">
        <x:v>C13</x:v>
      </x:c>
      <x:c r="C94" s="15" t="str">
        <x:v>C07</x:v>
      </x:c>
      <x:c r="D94" s="15" t="str">
        <x:v>Distinctive Career Services</x:v>
      </x:c>
      <x:c r="E94" s="15" t="str">
        <x:v>TopResume</x:v>
      </x:c>
      <x:c r="F94" s="34" t="n">
        <x:f>'Score Inputs'!L18</x:f>
        <x:v>82.75</x:v>
      </x:c>
      <x:c r="G94" s="34" t="n">
        <x:f>'Score Inputs'!L12</x:f>
        <x:v>62.75</x:v>
      </x:c>
      <x:c r="H94" s="34" t="n">
        <x:f>F94-G94</x:f>
        <x:v>20</x:v>
      </x:c>
      <x:c r="I94" s="15" t="str">
        <x:f>IF(F94=G94,"Tie",IF(F94&gt;G94,D94,E94))</x:f>
        <x:v>Distinctive Career Services</x:v>
      </x:c>
      <x:c r="J94" s="15" t="str">
        <x:f>IF(H94=0,"Exact score tie",IF(ABS(H94)&lt;2,"Close editorial call","Model preference"))</x:f>
        <x:v>Model preference</x:v>
      </x:c>
      <x:c r="K94" s="15" t="str">
        <x:v>S029 S030 S031 S032 S034 S035 S036 S060 S061 S062 S063 S064 S066 S117 S120</x:v>
      </x:c>
    </x:row>
    <x:row r="95" ht="64" customHeight="1">
      <x:c r="A95" s="15" t="n">
        <x:v>90</x:v>
      </x:c>
      <x:c r="B95" s="15" t="str">
        <x:v>C13</x:v>
      </x:c>
      <x:c r="C95" s="15" t="str">
        <x:v>C14</x:v>
      </x:c>
      <x:c r="D95" s="15" t="str">
        <x:v>Distinctive Career Services</x:v>
      </x:c>
      <x:c r="E95" s="15" t="str">
        <x:v>Resume Writing Group</x:v>
      </x:c>
      <x:c r="F95" s="34" t="n">
        <x:f>'Score Inputs'!L18</x:f>
        <x:v>82.75</x:v>
      </x:c>
      <x:c r="G95" s="34" t="n">
        <x:f>'Score Inputs'!L19</x:f>
        <x:v>59.75</x:v>
      </x:c>
      <x:c r="H95" s="34" t="n">
        <x:f>F95-G95</x:f>
        <x:v>23</x:v>
      </x:c>
      <x:c r="I95" s="15" t="str">
        <x:f>IF(F95=G95,"Tie",IF(F95&gt;G95,D95,E95))</x:f>
        <x:v>Distinctive Career Services</x:v>
      </x:c>
      <x:c r="J95" s="15" t="str">
        <x:f>IF(H95=0,"Exact score tie",IF(ABS(H95)&lt;2,"Close editorial call","Model preference"))</x:f>
        <x:v>Model preference</x:v>
      </x:c>
      <x:c r="K95" s="15" t="str">
        <x:v>S060 S061 S062 S063 S064 S066 S067 S068 S069 S070 S117 S120</x:v>
      </x:c>
    </x:row>
    <x:row r="96" ht="64" customHeight="1">
      <x:c r="A96" s="15" t="n">
        <x:v>91</x:v>
      </x:c>
      <x:c r="B96" s="15" t="str">
        <x:v>C17</x:v>
      </x:c>
      <x:c r="C96" s="15" t="str">
        <x:v>C20</x:v>
      </x:c>
      <x:c r="D96" s="15" t="str">
        <x:v>The Writing Guru</x:v>
      </x:c>
      <x:c r="E96" s="15" t="str">
        <x:v>Career Steering</x:v>
      </x:c>
      <x:c r="F96" s="34" t="n">
        <x:f>'Score Inputs'!L22</x:f>
        <x:v>82.5</x:v>
      </x:c>
      <x:c r="G96" s="34" t="n">
        <x:f>'Score Inputs'!L25</x:f>
        <x:v>82.25</x:v>
      </x:c>
      <x:c r="H96" s="34" t="n">
        <x:f>F96-G96</x:f>
        <x:v>0.25</x:v>
      </x:c>
      <x:c r="I96" s="15" t="str">
        <x:f>IF(F96=G96,"Tie",IF(F96&gt;G96,D96,E96))</x:f>
        <x:v>The Writing Guru</x:v>
      </x:c>
      <x:c r="J96" s="15" t="str">
        <x:f>IF(H96=0,"Exact score tie",IF(ABS(H96)&lt;2,"Close editorial call","Model preference"))</x:f>
        <x:v>Close editorial call</x:v>
      </x:c>
      <x:c r="K96" s="15" t="str">
        <x:v>S079 S080 S082 S083 S093 S116 S118 S120 S121</x:v>
      </x:c>
    </x:row>
    <x:row r="97" ht="64" customHeight="1">
      <x:c r="A97" s="15" t="n">
        <x:v>92</x:v>
      </x:c>
      <x:c r="B97" s="15" t="str">
        <x:v>C17</x:v>
      </x:c>
      <x:c r="C97" s="15" t="str">
        <x:v>C05</x:v>
      </x:c>
      <x:c r="D97" s="15" t="str">
        <x:v>The Writing Guru</x:v>
      </x:c>
      <x:c r="E97" s="15" t="str">
        <x:v>ResumeSpice</x:v>
      </x:c>
      <x:c r="F97" s="34" t="n">
        <x:f>'Score Inputs'!L22</x:f>
        <x:v>82.5</x:v>
      </x:c>
      <x:c r="G97" s="34" t="n">
        <x:f>'Score Inputs'!L10</x:f>
        <x:v>82</x:v>
      </x:c>
      <x:c r="H97" s="34" t="n">
        <x:f>F97-G97</x:f>
        <x:v>0.5</x:v>
      </x:c>
      <x:c r="I97" s="15" t="str">
        <x:f>IF(F97=G97,"Tie",IF(F97&gt;G97,D97,E97))</x:f>
        <x:v>The Writing Guru</x:v>
      </x:c>
      <x:c r="J97" s="15" t="str">
        <x:f>IF(H97=0,"Exact score tie",IF(ABS(H97)&lt;2,"Close editorial call","Model preference"))</x:f>
        <x:v>Close editorial call</x:v>
      </x:c>
      <x:c r="K97" s="15" t="str">
        <x:v>S020 S021 S022 S023 S024 S079 S080 S082 S083 S116 S121</x:v>
      </x:c>
    </x:row>
    <x:row r="98" ht="64" customHeight="1">
      <x:c r="A98" s="15" t="n">
        <x:v>93</x:v>
      </x:c>
      <x:c r="B98" s="15" t="str">
        <x:v>C17</x:v>
      </x:c>
      <x:c r="C98" s="15" t="str">
        <x:v>C02</x:v>
      </x:c>
      <x:c r="D98" s="15" t="str">
        <x:v>The Writing Guru</x:v>
      </x:c>
      <x:c r="E98" s="15" t="str">
        <x:v>Find My Profession</x:v>
      </x:c>
      <x:c r="F98" s="34" t="n">
        <x:f>'Score Inputs'!L22</x:f>
        <x:v>82.5</x:v>
      </x:c>
      <x:c r="G98" s="34" t="n">
        <x:f>'Score Inputs'!L7</x:f>
        <x:v>80.75</x:v>
      </x:c>
      <x:c r="H98" s="34" t="n">
        <x:f>F98-G98</x:f>
        <x:v>1.75</x:v>
      </x:c>
      <x:c r="I98" s="15" t="str">
        <x:f>IF(F98=G98,"Tie",IF(F98&gt;G98,D98,E98))</x:f>
        <x:v>The Writing Guru</x:v>
      </x:c>
      <x:c r="J98" s="15" t="str">
        <x:f>IF(H98=0,"Exact score tie",IF(ABS(H98)&lt;2,"Close editorial call","Model preference"))</x:f>
        <x:v>Close editorial call</x:v>
      </x:c>
      <x:c r="K98" s="15" t="str">
        <x:v>S005 S007 S008 S009 S079 S080 S082 S083 S116 S121 S123</x:v>
      </x:c>
    </x:row>
    <x:row r="99" ht="64" customHeight="1">
      <x:c r="A99" s="15" t="n">
        <x:v>94</x:v>
      </x:c>
      <x:c r="B99" s="15" t="str">
        <x:v>C17</x:v>
      </x:c>
      <x:c r="C99" s="15" t="str">
        <x:v>C25</x:v>
      </x:c>
      <x:c r="D99" s="15" t="str">
        <x:v>The Writing Guru</x:v>
      </x:c>
      <x:c r="E99" s="15" t="str">
        <x:v>Employment BOOST</x:v>
      </x:c>
      <x:c r="F99" s="34" t="n">
        <x:f>'Score Inputs'!L22</x:f>
        <x:v>82.5</x:v>
      </x:c>
      <x:c r="G99" s="34" t="n">
        <x:f>'Score Inputs'!L30</x:f>
        <x:v>80.5</x:v>
      </x:c>
      <x:c r="H99" s="34" t="n">
        <x:f>F99-G99</x:f>
        <x:v>2</x:v>
      </x:c>
      <x:c r="I99" s="15" t="str">
        <x:f>IF(F99=G99,"Tie",IF(F99&gt;G99,D99,E99))</x:f>
        <x:v>The Writing Guru</x:v>
      </x:c>
      <x:c r="J99" s="15" t="str">
        <x:f>IF(H99=0,"Exact score tie",IF(ABS(H99)&lt;2,"Close editorial call","Model preference"))</x:f>
        <x:v>Model preference</x:v>
      </x:c>
      <x:c r="K99" s="15" t="str">
        <x:v>S079 S080 S082 S083 S105 S106 S107 S115 S116 S121</x:v>
      </x:c>
    </x:row>
    <x:row r="100" ht="64" customHeight="1">
      <x:c r="A100" s="15" t="n">
        <x:v>95</x:v>
      </x:c>
      <x:c r="B100" s="15" t="str">
        <x:v>C17</x:v>
      </x:c>
      <x:c r="C100" s="15" t="str">
        <x:v>C10</x:v>
      </x:c>
      <x:c r="D100" s="15" t="str">
        <x:v>The Writing Guru</x:v>
      </x:c>
      <x:c r="E100" s="15" t="str">
        <x:v>JobStars USA</x:v>
      </x:c>
      <x:c r="F100" s="34" t="n">
        <x:f>'Score Inputs'!L22</x:f>
        <x:v>82.5</x:v>
      </x:c>
      <x:c r="G100" s="34" t="n">
        <x:f>'Score Inputs'!L15</x:f>
        <x:v>80.5</x:v>
      </x:c>
      <x:c r="H100" s="34" t="n">
        <x:f>F100-G100</x:f>
        <x:v>2</x:v>
      </x:c>
      <x:c r="I100" s="15" t="str">
        <x:f>IF(F100=G100,"Tie",IF(F100&gt;G100,D100,E100))</x:f>
        <x:v>The Writing Guru</x:v>
      </x:c>
      <x:c r="J100" s="15" t="str">
        <x:f>IF(H100=0,"Exact score tie",IF(ABS(H100)&lt;2,"Close editorial call","Model preference"))</x:f>
        <x:v>Model preference</x:v>
      </x:c>
      <x:c r="K100" s="15" t="str">
        <x:v>S047 S048 S049 S050 S079 S080 S082 S083 S116 S121</x:v>
      </x:c>
    </x:row>
    <x:row r="101" ht="64" customHeight="1">
      <x:c r="A101" s="15" t="n">
        <x:v>96</x:v>
      </x:c>
      <x:c r="B101" s="15" t="str">
        <x:v>C17</x:v>
      </x:c>
      <x:c r="C101" s="15" t="str">
        <x:v>C06</x:v>
      </x:c>
      <x:c r="D101" s="15" t="str">
        <x:v>The Writing Guru</x:v>
      </x:c>
      <x:c r="E101" s="15" t="str">
        <x:v>Great Resumes Fast</x:v>
      </x:c>
      <x:c r="F101" s="34" t="n">
        <x:f>'Score Inputs'!L22</x:f>
        <x:v>82.5</x:v>
      </x:c>
      <x:c r="G101" s="34" t="n">
        <x:f>'Score Inputs'!L11</x:f>
        <x:v>80.5</x:v>
      </x:c>
      <x:c r="H101" s="34" t="n">
        <x:f>F101-G101</x:f>
        <x:v>2</x:v>
      </x:c>
      <x:c r="I101" s="15" t="str">
        <x:f>IF(F101=G101,"Tie",IF(F101&gt;G101,D101,E101))</x:f>
        <x:v>The Writing Guru</x:v>
      </x:c>
      <x:c r="J101" s="15" t="str">
        <x:f>IF(H101=0,"Exact score tie",IF(ABS(H101)&lt;2,"Close editorial call","Model preference"))</x:f>
        <x:v>Model preference</x:v>
      </x:c>
      <x:c r="K101" s="15" t="str">
        <x:v>S025 S026 S027 S028 S079 S080 S082 S083 S116 S121 S122</x:v>
      </x:c>
    </x:row>
    <x:row r="102" ht="64" customHeight="1">
      <x:c r="A102" s="15" t="n">
        <x:v>97</x:v>
      </x:c>
      <x:c r="B102" s="15" t="str">
        <x:v>C17</x:v>
      </x:c>
      <x:c r="C102" s="15" t="str">
        <x:v>C12</x:v>
      </x:c>
      <x:c r="D102" s="15" t="str">
        <x:v>The Writing Guru</x:v>
      </x:c>
      <x:c r="E102" s="15" t="str">
        <x:v>iCareerSolutions</x:v>
      </x:c>
      <x:c r="F102" s="34" t="n">
        <x:f>'Score Inputs'!L22</x:f>
        <x:v>82.5</x:v>
      </x:c>
      <x:c r="G102" s="34" t="n">
        <x:f>'Score Inputs'!L17</x:f>
        <x:v>80.5</x:v>
      </x:c>
      <x:c r="H102" s="34" t="n">
        <x:f>F102-G102</x:f>
        <x:v>2</x:v>
      </x:c>
      <x:c r="I102" s="15" t="str">
        <x:f>IF(F102=G102,"Tie",IF(F102&gt;G102,D102,E102))</x:f>
        <x:v>The Writing Guru</x:v>
      </x:c>
      <x:c r="J102" s="15" t="str">
        <x:f>IF(H102=0,"Exact score tie",IF(ABS(H102)&lt;2,"Close editorial call","Model preference"))</x:f>
        <x:v>Model preference</x:v>
      </x:c>
      <x:c r="K102" s="15" t="str">
        <x:v>S055 S056 S057 S058 S059 S079 S080 S082 S083 S116 S121</x:v>
      </x:c>
    </x:row>
    <x:row r="103" ht="64" customHeight="1">
      <x:c r="A103" s="15" t="n">
        <x:v>98</x:v>
      </x:c>
      <x:c r="B103" s="15" t="str">
        <x:v>C17</x:v>
      </x:c>
      <x:c r="C103" s="15" t="str">
        <x:v>C01</x:v>
      </x:c>
      <x:c r="D103" s="15" t="str">
        <x:v>The Writing Guru</x:v>
      </x:c>
      <x:c r="E103" s="15" t="str">
        <x:v>Let’s Eat, Grandma</x:v>
      </x:c>
      <x:c r="F103" s="34" t="n">
        <x:f>'Score Inputs'!L22</x:f>
        <x:v>82.5</x:v>
      </x:c>
      <x:c r="G103" s="34" t="n">
        <x:f>'Score Inputs'!L6</x:f>
        <x:v>80.25</x:v>
      </x:c>
      <x:c r="H103" s="34" t="n">
        <x:f>F103-G103</x:f>
        <x:v>2.25</x:v>
      </x:c>
      <x:c r="I103" s="15" t="str">
        <x:f>IF(F103=G103,"Tie",IF(F103&gt;G103,D103,E103))</x:f>
        <x:v>The Writing Guru</x:v>
      </x:c>
      <x:c r="J103" s="15" t="str">
        <x:f>IF(H103=0,"Exact score tie",IF(ABS(H103)&lt;2,"Close editorial call","Model preference"))</x:f>
        <x:v>Model preference</x:v>
      </x:c>
      <x:c r="K103" s="15" t="str">
        <x:v>S001 S002 S003 S004 S079 S080 S082 S083 S116 S121</x:v>
      </x:c>
    </x:row>
    <x:row r="104" ht="64" customHeight="1">
      <x:c r="A104" s="15" t="n">
        <x:v>99</x:v>
      </x:c>
      <x:c r="B104" s="15" t="str">
        <x:v>C17</x:v>
      </x:c>
      <x:c r="C104" s="15" t="str">
        <x:v>C22</x:v>
      </x:c>
      <x:c r="D104" s="15" t="str">
        <x:v>The Writing Guru</x:v>
      </x:c>
      <x:c r="E104" s="15" t="str">
        <x:v>Briefcase Coach</x:v>
      </x:c>
      <x:c r="F104" s="34" t="n">
        <x:f>'Score Inputs'!L22</x:f>
        <x:v>82.5</x:v>
      </x:c>
      <x:c r="G104" s="34" t="n">
        <x:f>'Score Inputs'!L27</x:f>
        <x:v>79.25</x:v>
      </x:c>
      <x:c r="H104" s="34" t="n">
        <x:f>F104-G104</x:f>
        <x:v>3.25</x:v>
      </x:c>
      <x:c r="I104" s="15" t="str">
        <x:f>IF(F104=G104,"Tie",IF(F104&gt;G104,D104,E104))</x:f>
        <x:v>The Writing Guru</x:v>
      </x:c>
      <x:c r="J104" s="15" t="str">
        <x:f>IF(H104=0,"Exact score tie",IF(ABS(H104)&lt;2,"Close editorial call","Model preference"))</x:f>
        <x:v>Model preference</x:v>
      </x:c>
      <x:c r="K104" s="15" t="str">
        <x:v>S079 S080 S082 S083 S097 S098 S109 S110 S116 S121</x:v>
      </x:c>
    </x:row>
    <x:row r="105" ht="64" customHeight="1">
      <x:c r="A105" s="15" t="n">
        <x:v>100</x:v>
      </x:c>
      <x:c r="B105" s="15" t="str">
        <x:v>C17</x:v>
      </x:c>
      <x:c r="C105" s="15" t="str">
        <x:v>C21</x:v>
      </x:c>
      <x:c r="D105" s="15" t="str">
        <x:v>The Writing Guru</x:v>
      </x:c>
      <x:c r="E105" s="15" t="str">
        <x:v>Blue Sky Resumes</x:v>
      </x:c>
      <x:c r="F105" s="34" t="n">
        <x:f>'Score Inputs'!L22</x:f>
        <x:v>82.5</x:v>
      </x:c>
      <x:c r="G105" s="34" t="n">
        <x:f>'Score Inputs'!L26</x:f>
        <x:v>79.25</x:v>
      </x:c>
      <x:c r="H105" s="34" t="n">
        <x:f>F105-G105</x:f>
        <x:v>3.25</x:v>
      </x:c>
      <x:c r="I105" s="15" t="str">
        <x:f>IF(F105=G105,"Tie",IF(F105&gt;G105,D105,E105))</x:f>
        <x:v>The Writing Guru</x:v>
      </x:c>
      <x:c r="J105" s="15" t="str">
        <x:f>IF(H105=0,"Exact score tie",IF(ABS(H105)&lt;2,"Close editorial call","Model preference"))</x:f>
        <x:v>Model preference</x:v>
      </x:c>
      <x:c r="K105" s="15" t="str">
        <x:v>S079 S080 S082 S083 S095 S096 S111 S112 S116 S121</x:v>
      </x:c>
    </x:row>
    <x:row r="106" ht="64" customHeight="1">
      <x:c r="A106" s="15" t="n">
        <x:v>101</x:v>
      </x:c>
      <x:c r="B106" s="15" t="str">
        <x:v>C17</x:v>
      </x:c>
      <x:c r="C106" s="15" t="str">
        <x:v>C19</x:v>
      </x:c>
      <x:c r="D106" s="15" t="str">
        <x:v>The Writing Guru</x:v>
      </x:c>
      <x:c r="E106" s="15" t="str">
        <x:v>CareerProPlus / CareerPro Global</x:v>
      </x:c>
      <x:c r="F106" s="34" t="n">
        <x:f>'Score Inputs'!L22</x:f>
        <x:v>82.5</x:v>
      </x:c>
      <x:c r="G106" s="34" t="n">
        <x:f>'Score Inputs'!L24</x:f>
        <x:v>77.5</x:v>
      </x:c>
      <x:c r="H106" s="34" t="n">
        <x:f>F106-G106</x:f>
        <x:v>5</x:v>
      </x:c>
      <x:c r="I106" s="15" t="str">
        <x:f>IF(F106=G106,"Tie",IF(F106&gt;G106,D106,E106))</x:f>
        <x:v>The Writing Guru</x:v>
      </x:c>
      <x:c r="J106" s="15" t="str">
        <x:f>IF(H106=0,"Exact score tie",IF(ABS(H106)&lt;2,"Close editorial call","Model preference"))</x:f>
        <x:v>Model preference</x:v>
      </x:c>
      <x:c r="K106" s="15" t="str">
        <x:v>S079 S080 S082 S083 S089 S090 S091 S092 S116 S121</x:v>
      </x:c>
    </x:row>
    <x:row r="107" ht="64" customHeight="1">
      <x:c r="A107" s="15" t="n">
        <x:v>102</x:v>
      </x:c>
      <x:c r="B107" s="15" t="str">
        <x:v>C17</x:v>
      </x:c>
      <x:c r="C107" s="15" t="str">
        <x:v>C24</x:v>
      </x:c>
      <x:c r="D107" s="15" t="str">
        <x:v>The Writing Guru</x:v>
      </x:c>
      <x:c r="E107" s="15" t="str">
        <x:v>Scientech Resumes / Scientech Career Systems</x:v>
      </x:c>
      <x:c r="F107" s="34" t="n">
        <x:f>'Score Inputs'!L22</x:f>
        <x:v>82.5</x:v>
      </x:c>
      <x:c r="G107" s="34" t="n">
        <x:f>'Score Inputs'!L29</x:f>
        <x:v>77.25</x:v>
      </x:c>
      <x:c r="H107" s="34" t="n">
        <x:f>F107-G107</x:f>
        <x:v>5.25</x:v>
      </x:c>
      <x:c r="I107" s="15" t="str">
        <x:f>IF(F107=G107,"Tie",IF(F107&gt;G107,D107,E107))</x:f>
        <x:v>The Writing Guru</x:v>
      </x:c>
      <x:c r="J107" s="15" t="str">
        <x:f>IF(H107=0,"Exact score tie",IF(ABS(H107)&lt;2,"Close editorial call","Model preference"))</x:f>
        <x:v>Model preference</x:v>
      </x:c>
      <x:c r="K107" s="15" t="str">
        <x:v>S079 S080 S082 S083 S102 S104 S113 S114 S116 S121</x:v>
      </x:c>
    </x:row>
    <x:row r="108" ht="64" customHeight="1">
      <x:c r="A108" s="15" t="n">
        <x:v>103</x:v>
      </x:c>
      <x:c r="B108" s="15" t="str">
        <x:v>C17</x:v>
      </x:c>
      <x:c r="C108" s="15" t="str">
        <x:v>C03</x:v>
      </x:c>
      <x:c r="D108" s="15" t="str">
        <x:v>The Writing Guru</x:v>
      </x:c>
      <x:c r="E108" s="15" t="str">
        <x:v>TopStack Resume</x:v>
      </x:c>
      <x:c r="F108" s="34" t="n">
        <x:f>'Score Inputs'!L22</x:f>
        <x:v>82.5</x:v>
      </x:c>
      <x:c r="G108" s="34" t="n">
        <x:f>'Score Inputs'!L8</x:f>
        <x:v>76.75</x:v>
      </x:c>
      <x:c r="H108" s="34" t="n">
        <x:f>F108-G108</x:f>
        <x:v>5.75</x:v>
      </x:c>
      <x:c r="I108" s="15" t="str">
        <x:f>IF(F108=G108,"Tie",IF(F108&gt;G108,D108,E108))</x:f>
        <x:v>The Writing Guru</x:v>
      </x:c>
      <x:c r="J108" s="15" t="str">
        <x:f>IF(H108=0,"Exact score tie",IF(ABS(H108)&lt;2,"Close editorial call","Model preference"))</x:f>
        <x:v>Model preference</x:v>
      </x:c>
      <x:c r="K108" s="15" t="str">
        <x:v>S010 S011 S012 S013 S079 S080 S082 S083 S108 S116 S121</x:v>
      </x:c>
    </x:row>
    <x:row r="109" ht="64" customHeight="1">
      <x:c r="A109" s="15" t="n">
        <x:v>104</x:v>
      </x:c>
      <x:c r="B109" s="15" t="str">
        <x:v>C17</x:v>
      </x:c>
      <x:c r="C109" s="15" t="str">
        <x:v>C08</x:v>
      </x:c>
      <x:c r="D109" s="15" t="str">
        <x:v>The Writing Guru</x:v>
      </x:c>
      <x:c r="E109" s="15" t="str">
        <x:v>The Resume Place</x:v>
      </x:c>
      <x:c r="F109" s="34" t="n">
        <x:f>'Score Inputs'!L22</x:f>
        <x:v>82.5</x:v>
      </x:c>
      <x:c r="G109" s="34" t="n">
        <x:f>'Score Inputs'!L13</x:f>
        <x:v>76.75</x:v>
      </x:c>
      <x:c r="H109" s="34" t="n">
        <x:f>F109-G109</x:f>
        <x:v>5.75</x:v>
      </x:c>
      <x:c r="I109" s="15" t="str">
        <x:f>IF(F109=G109,"Tie",IF(F109&gt;G109,D109,E109))</x:f>
        <x:v>The Writing Guru</x:v>
      </x:c>
      <x:c r="J109" s="15" t="str">
        <x:f>IF(H109=0,"Exact score tie",IF(ABS(H109)&lt;2,"Close editorial call","Model preference"))</x:f>
        <x:v>Model preference</x:v>
      </x:c>
      <x:c r="K109" s="15" t="str">
        <x:v>S037 S038 S039 S040 S066 S079 S080 S082 S083 S116 S121</x:v>
      </x:c>
    </x:row>
    <x:row r="110" ht="64" customHeight="1">
      <x:c r="A110" s="15" t="n">
        <x:v>105</x:v>
      </x:c>
      <x:c r="B110" s="15" t="str">
        <x:v>C17</x:v>
      </x:c>
      <x:c r="C110" s="15" t="str">
        <x:v>C23</x:v>
      </x:c>
      <x:c r="D110" s="15" t="str">
        <x:v>The Writing Guru</x:v>
      </x:c>
      <x:c r="E110" s="15" t="str">
        <x:v>Klaxos</x:v>
      </x:c>
      <x:c r="F110" s="34" t="n">
        <x:f>'Score Inputs'!L22</x:f>
        <x:v>82.5</x:v>
      </x:c>
      <x:c r="G110" s="34" t="n">
        <x:f>'Score Inputs'!L28</x:f>
        <x:v>75.75</x:v>
      </x:c>
      <x:c r="H110" s="34" t="n">
        <x:f>F110-G110</x:f>
        <x:v>6.75</x:v>
      </x:c>
      <x:c r="I110" s="15" t="str">
        <x:f>IF(F110=G110,"Tie",IF(F110&gt;G110,D110,E110))</x:f>
        <x:v>The Writing Guru</x:v>
      </x:c>
      <x:c r="J110" s="15" t="str">
        <x:f>IF(H110=0,"Exact score tie",IF(ABS(H110)&lt;2,"Close editorial call","Model preference"))</x:f>
        <x:v>Model preference</x:v>
      </x:c>
      <x:c r="K110" s="15" t="str">
        <x:v>S079 S080 S082 S083 S099 S100 S101 S116 S121</x:v>
      </x:c>
    </x:row>
    <x:row r="111" ht="64" customHeight="1">
      <x:c r="A111" s="15" t="n">
        <x:v>106</x:v>
      </x:c>
      <x:c r="B111" s="15" t="str">
        <x:v>C17</x:v>
      </x:c>
      <x:c r="C111" s="15" t="str">
        <x:v>C04</x:v>
      </x:c>
      <x:c r="D111" s="15" t="str">
        <x:v>The Writing Guru</x:v>
      </x:c>
      <x:c r="E111" s="15" t="str">
        <x:v>Resumeble</x:v>
      </x:c>
      <x:c r="F111" s="34" t="n">
        <x:f>'Score Inputs'!L22</x:f>
        <x:v>82.5</x:v>
      </x:c>
      <x:c r="G111" s="34" t="n">
        <x:f>'Score Inputs'!L9</x:f>
        <x:v>74.5</x:v>
      </x:c>
      <x:c r="H111" s="34" t="n">
        <x:f>F111-G111</x:f>
        <x:v>8</x:v>
      </x:c>
      <x:c r="I111" s="15" t="str">
        <x:f>IF(F111=G111,"Tie",IF(F111&gt;G111,D111,E111))</x:f>
        <x:v>The Writing Guru</x:v>
      </x:c>
      <x:c r="J111" s="15" t="str">
        <x:f>IF(H111=0,"Exact score tie",IF(ABS(H111)&lt;2,"Close editorial call","Model preference"))</x:f>
        <x:v>Model preference</x:v>
      </x:c>
      <x:c r="K111" s="15" t="str">
        <x:v>S014 S015 S016 S017 S018 S019 S079 S080 S082 S083 S116 S121</x:v>
      </x:c>
    </x:row>
    <x:row r="112" ht="64" customHeight="1">
      <x:c r="A112" s="15" t="n">
        <x:v>107</x:v>
      </x:c>
      <x:c r="B112" s="15" t="str">
        <x:v>C17</x:v>
      </x:c>
      <x:c r="C112" s="15" t="str">
        <x:v>C16</x:v>
      </x:c>
      <x:c r="D112" s="15" t="str">
        <x:v>The Writing Guru</x:v>
      </x:c>
      <x:c r="E112" s="15" t="str">
        <x:v>Resume Target</x:v>
      </x:c>
      <x:c r="F112" s="34" t="n">
        <x:f>'Score Inputs'!L22</x:f>
        <x:v>82.5</x:v>
      </x:c>
      <x:c r="G112" s="34" t="n">
        <x:f>'Score Inputs'!L21</x:f>
        <x:v>74.5</x:v>
      </x:c>
      <x:c r="H112" s="34" t="n">
        <x:f>F112-G112</x:f>
        <x:v>8</x:v>
      </x:c>
      <x:c r="I112" s="15" t="str">
        <x:f>IF(F112=G112,"Tie",IF(F112&gt;G112,D112,E112))</x:f>
        <x:v>The Writing Guru</x:v>
      </x:c>
      <x:c r="J112" s="15" t="str">
        <x:f>IF(H112=0,"Exact score tie",IF(ABS(H112)&lt;2,"Close editorial call","Model preference"))</x:f>
        <x:v>Model preference</x:v>
      </x:c>
      <x:c r="K112" s="15" t="str">
        <x:v>S075 S076 S077 S078 S079 S080 S082 S083 S116 S121</x:v>
      </x:c>
    </x:row>
    <x:row r="113" ht="64" customHeight="1">
      <x:c r="A113" s="15" t="n">
        <x:v>108</x:v>
      </x:c>
      <x:c r="B113" s="15" t="str">
        <x:v>C17</x:v>
      </x:c>
      <x:c r="C113" s="15" t="str">
        <x:v>C11</x:v>
      </x:c>
      <x:c r="D113" s="15" t="str">
        <x:v>The Writing Guru</x:v>
      </x:c>
      <x:c r="E113" s="15" t="str">
        <x:v>Resume Professional Writers</x:v>
      </x:c>
      <x:c r="F113" s="34" t="n">
        <x:f>'Score Inputs'!L22</x:f>
        <x:v>82.5</x:v>
      </x:c>
      <x:c r="G113" s="34" t="n">
        <x:f>'Score Inputs'!L16</x:f>
        <x:v>65.75</x:v>
      </x:c>
      <x:c r="H113" s="34" t="n">
        <x:f>F113-G113</x:f>
        <x:v>16.75</x:v>
      </x:c>
      <x:c r="I113" s="15" t="str">
        <x:f>IF(F113=G113,"Tie",IF(F113&gt;G113,D113,E113))</x:f>
        <x:v>The Writing Guru</x:v>
      </x:c>
      <x:c r="J113" s="15" t="str">
        <x:f>IF(H113=0,"Exact score tie",IF(ABS(H113)&lt;2,"Close editorial call","Model preference"))</x:f>
        <x:v>Model preference</x:v>
      </x:c>
      <x:c r="K113" s="15" t="str">
        <x:v>S051 S052 S053 S054 S079 S080 S082 S083 S116 S121</x:v>
      </x:c>
    </x:row>
    <x:row r="114" ht="64" customHeight="1">
      <x:c r="A114" s="15" t="n">
        <x:v>109</x:v>
      </x:c>
      <x:c r="B114" s="15" t="str">
        <x:v>C17</x:v>
      </x:c>
      <x:c r="C114" s="15" t="str">
        <x:v>C07</x:v>
      </x:c>
      <x:c r="D114" s="15" t="str">
        <x:v>The Writing Guru</x:v>
      </x:c>
      <x:c r="E114" s="15" t="str">
        <x:v>TopResume</x:v>
      </x:c>
      <x:c r="F114" s="34" t="n">
        <x:f>'Score Inputs'!L22</x:f>
        <x:v>82.5</x:v>
      </x:c>
      <x:c r="G114" s="34" t="n">
        <x:f>'Score Inputs'!L12</x:f>
        <x:v>62.75</x:v>
      </x:c>
      <x:c r="H114" s="34" t="n">
        <x:f>F114-G114</x:f>
        <x:v>19.75</x:v>
      </x:c>
      <x:c r="I114" s="15" t="str">
        <x:f>IF(F114=G114,"Tie",IF(F114&gt;G114,D114,E114))</x:f>
        <x:v>The Writing Guru</x:v>
      </x:c>
      <x:c r="J114" s="15" t="str">
        <x:f>IF(H114=0,"Exact score tie",IF(ABS(H114)&lt;2,"Close editorial call","Model preference"))</x:f>
        <x:v>Model preference</x:v>
      </x:c>
      <x:c r="K114" s="15" t="str">
        <x:v>S029 S030 S031 S032 S034 S035 S036 S079 S080 S082 S083 S116 S121</x:v>
      </x:c>
    </x:row>
    <x:row r="115" ht="64" customHeight="1">
      <x:c r="A115" s="15" t="n">
        <x:v>110</x:v>
      </x:c>
      <x:c r="B115" s="15" t="str">
        <x:v>C17</x:v>
      </x:c>
      <x:c r="C115" s="15" t="str">
        <x:v>C14</x:v>
      </x:c>
      <x:c r="D115" s="15" t="str">
        <x:v>The Writing Guru</x:v>
      </x:c>
      <x:c r="E115" s="15" t="str">
        <x:v>Resume Writing Group</x:v>
      </x:c>
      <x:c r="F115" s="34" t="n">
        <x:f>'Score Inputs'!L22</x:f>
        <x:v>82.5</x:v>
      </x:c>
      <x:c r="G115" s="34" t="n">
        <x:f>'Score Inputs'!L19</x:f>
        <x:v>59.75</x:v>
      </x:c>
      <x:c r="H115" s="34" t="n">
        <x:f>F115-G115</x:f>
        <x:v>22.75</x:v>
      </x:c>
      <x:c r="I115" s="15" t="str">
        <x:f>IF(F115=G115,"Tie",IF(F115&gt;G115,D115,E115))</x:f>
        <x:v>The Writing Guru</x:v>
      </x:c>
      <x:c r="J115" s="15" t="str">
        <x:f>IF(H115=0,"Exact score tie",IF(ABS(H115)&lt;2,"Close editorial call","Model preference"))</x:f>
        <x:v>Model preference</x:v>
      </x:c>
      <x:c r="K115" s="15" t="str">
        <x:v>S067 S068 S069 S070 S079 S080 S082 S083 S116 S121</x:v>
      </x:c>
    </x:row>
    <x:row r="116" ht="64" customHeight="1">
      <x:c r="A116" s="15" t="n">
        <x:v>111</x:v>
      </x:c>
      <x:c r="B116" s="15" t="str">
        <x:v>C20</x:v>
      </x:c>
      <x:c r="C116" s="15" t="str">
        <x:v>C05</x:v>
      </x:c>
      <x:c r="D116" s="15" t="str">
        <x:v>Career Steering</x:v>
      </x:c>
      <x:c r="E116" s="15" t="str">
        <x:v>ResumeSpice</x:v>
      </x:c>
      <x:c r="F116" s="34" t="n">
        <x:f>'Score Inputs'!L25</x:f>
        <x:v>82.25</x:v>
      </x:c>
      <x:c r="G116" s="34" t="n">
        <x:f>'Score Inputs'!L10</x:f>
        <x:v>82</x:v>
      </x:c>
      <x:c r="H116" s="34" t="n">
        <x:f>F116-G116</x:f>
        <x:v>0.25</x:v>
      </x:c>
      <x:c r="I116" s="15" t="str">
        <x:f>IF(F116=G116,"Tie",IF(F116&gt;G116,D116,E116))</x:f>
        <x:v>Career Steering</x:v>
      </x:c>
      <x:c r="J116" s="15" t="str">
        <x:f>IF(H116=0,"Exact score tie",IF(ABS(H116)&lt;2,"Close editorial call","Model preference"))</x:f>
        <x:v>Close editorial call</x:v>
      </x:c>
      <x:c r="K116" s="15" t="str">
        <x:v>S020 S021 S022 S023 S024 S093 S118 S120</x:v>
      </x:c>
    </x:row>
    <x:row r="117" ht="64" customHeight="1">
      <x:c r="A117" s="15" t="n">
        <x:v>112</x:v>
      </x:c>
      <x:c r="B117" s="15" t="str">
        <x:v>C20</x:v>
      </x:c>
      <x:c r="C117" s="15" t="str">
        <x:v>C02</x:v>
      </x:c>
      <x:c r="D117" s="15" t="str">
        <x:v>Career Steering</x:v>
      </x:c>
      <x:c r="E117" s="15" t="str">
        <x:v>Find My Profession</x:v>
      </x:c>
      <x:c r="F117" s="34" t="n">
        <x:f>'Score Inputs'!L25</x:f>
        <x:v>82.25</x:v>
      </x:c>
      <x:c r="G117" s="34" t="n">
        <x:f>'Score Inputs'!L7</x:f>
        <x:v>80.75</x:v>
      </x:c>
      <x:c r="H117" s="34" t="n">
        <x:f>F117-G117</x:f>
        <x:v>1.5</x:v>
      </x:c>
      <x:c r="I117" s="15" t="str">
        <x:f>IF(F117=G117,"Tie",IF(F117&gt;G117,D117,E117))</x:f>
        <x:v>Career Steering</x:v>
      </x:c>
      <x:c r="J117" s="15" t="str">
        <x:f>IF(H117=0,"Exact score tie",IF(ABS(H117)&lt;2,"Close editorial call","Model preference"))</x:f>
        <x:v>Close editorial call</x:v>
      </x:c>
      <x:c r="K117" s="15" t="str">
        <x:v>S005 S007 S008 S009 S093 S118 S120 S123</x:v>
      </x:c>
    </x:row>
    <x:row r="118" ht="64" customHeight="1">
      <x:c r="A118" s="15" t="n">
        <x:v>113</x:v>
      </x:c>
      <x:c r="B118" s="15" t="str">
        <x:v>C20</x:v>
      </x:c>
      <x:c r="C118" s="15" t="str">
        <x:v>C25</x:v>
      </x:c>
      <x:c r="D118" s="15" t="str">
        <x:v>Career Steering</x:v>
      </x:c>
      <x:c r="E118" s="15" t="str">
        <x:v>Employment BOOST</x:v>
      </x:c>
      <x:c r="F118" s="34" t="n">
        <x:f>'Score Inputs'!L25</x:f>
        <x:v>82.25</x:v>
      </x:c>
      <x:c r="G118" s="34" t="n">
        <x:f>'Score Inputs'!L30</x:f>
        <x:v>80.5</x:v>
      </x:c>
      <x:c r="H118" s="34" t="n">
        <x:f>F118-G118</x:f>
        <x:v>1.75</x:v>
      </x:c>
      <x:c r="I118" s="15" t="str">
        <x:f>IF(F118=G118,"Tie",IF(F118&gt;G118,D118,E118))</x:f>
        <x:v>Career Steering</x:v>
      </x:c>
      <x:c r="J118" s="15" t="str">
        <x:f>IF(H118=0,"Exact score tie",IF(ABS(H118)&lt;2,"Close editorial call","Model preference"))</x:f>
        <x:v>Close editorial call</x:v>
      </x:c>
      <x:c r="K118" s="15" t="str">
        <x:v>S093 S105 S106 S107 S115 S118 S120</x:v>
      </x:c>
    </x:row>
    <x:row r="119" ht="64" customHeight="1">
      <x:c r="A119" s="15" t="n">
        <x:v>114</x:v>
      </x:c>
      <x:c r="B119" s="15" t="str">
        <x:v>C20</x:v>
      </x:c>
      <x:c r="C119" s="15" t="str">
        <x:v>C10</x:v>
      </x:c>
      <x:c r="D119" s="15" t="str">
        <x:v>Career Steering</x:v>
      </x:c>
      <x:c r="E119" s="15" t="str">
        <x:v>JobStars USA</x:v>
      </x:c>
      <x:c r="F119" s="34" t="n">
        <x:f>'Score Inputs'!L25</x:f>
        <x:v>82.25</x:v>
      </x:c>
      <x:c r="G119" s="34" t="n">
        <x:f>'Score Inputs'!L15</x:f>
        <x:v>80.5</x:v>
      </x:c>
      <x:c r="H119" s="34" t="n">
        <x:f>F119-G119</x:f>
        <x:v>1.75</x:v>
      </x:c>
      <x:c r="I119" s="15" t="str">
        <x:f>IF(F119=G119,"Tie",IF(F119&gt;G119,D119,E119))</x:f>
        <x:v>Career Steering</x:v>
      </x:c>
      <x:c r="J119" s="15" t="str">
        <x:f>IF(H119=0,"Exact score tie",IF(ABS(H119)&lt;2,"Close editorial call","Model preference"))</x:f>
        <x:v>Close editorial call</x:v>
      </x:c>
      <x:c r="K119" s="15" t="str">
        <x:v>S047 S048 S049 S050 S093 S118 S120</x:v>
      </x:c>
    </x:row>
    <x:row r="120" ht="64" customHeight="1">
      <x:c r="A120" s="15" t="n">
        <x:v>115</x:v>
      </x:c>
      <x:c r="B120" s="15" t="str">
        <x:v>C20</x:v>
      </x:c>
      <x:c r="C120" s="15" t="str">
        <x:v>C06</x:v>
      </x:c>
      <x:c r="D120" s="15" t="str">
        <x:v>Career Steering</x:v>
      </x:c>
      <x:c r="E120" s="15" t="str">
        <x:v>Great Resumes Fast</x:v>
      </x:c>
      <x:c r="F120" s="34" t="n">
        <x:f>'Score Inputs'!L25</x:f>
        <x:v>82.25</x:v>
      </x:c>
      <x:c r="G120" s="34" t="n">
        <x:f>'Score Inputs'!L11</x:f>
        <x:v>80.5</x:v>
      </x:c>
      <x:c r="H120" s="34" t="n">
        <x:f>F120-G120</x:f>
        <x:v>1.75</x:v>
      </x:c>
      <x:c r="I120" s="15" t="str">
        <x:f>IF(F120=G120,"Tie",IF(F120&gt;G120,D120,E120))</x:f>
        <x:v>Career Steering</x:v>
      </x:c>
      <x:c r="J120" s="15" t="str">
        <x:f>IF(H120=0,"Exact score tie",IF(ABS(H120)&lt;2,"Close editorial call","Model preference"))</x:f>
        <x:v>Close editorial call</x:v>
      </x:c>
      <x:c r="K120" s="15" t="str">
        <x:v>S025 S026 S027 S028 S093 S118 S120 S122</x:v>
      </x:c>
    </x:row>
    <x:row r="121" ht="64" customHeight="1">
      <x:c r="A121" s="15" t="n">
        <x:v>116</x:v>
      </x:c>
      <x:c r="B121" s="15" t="str">
        <x:v>C20</x:v>
      </x:c>
      <x:c r="C121" s="15" t="str">
        <x:v>C12</x:v>
      </x:c>
      <x:c r="D121" s="15" t="str">
        <x:v>Career Steering</x:v>
      </x:c>
      <x:c r="E121" s="15" t="str">
        <x:v>iCareerSolutions</x:v>
      </x:c>
      <x:c r="F121" s="34" t="n">
        <x:f>'Score Inputs'!L25</x:f>
        <x:v>82.25</x:v>
      </x:c>
      <x:c r="G121" s="34" t="n">
        <x:f>'Score Inputs'!L17</x:f>
        <x:v>80.5</x:v>
      </x:c>
      <x:c r="H121" s="34" t="n">
        <x:f>F121-G121</x:f>
        <x:v>1.75</x:v>
      </x:c>
      <x:c r="I121" s="15" t="str">
        <x:f>IF(F121=G121,"Tie",IF(F121&gt;G121,D121,E121))</x:f>
        <x:v>Career Steering</x:v>
      </x:c>
      <x:c r="J121" s="15" t="str">
        <x:f>IF(H121=0,"Exact score tie",IF(ABS(H121)&lt;2,"Close editorial call","Model preference"))</x:f>
        <x:v>Close editorial call</x:v>
      </x:c>
      <x:c r="K121" s="15" t="str">
        <x:v>S055 S056 S057 S058 S059 S093 S118 S120</x:v>
      </x:c>
    </x:row>
    <x:row r="122" ht="64" customHeight="1">
      <x:c r="A122" s="15" t="n">
        <x:v>117</x:v>
      </x:c>
      <x:c r="B122" s="15" t="str">
        <x:v>C20</x:v>
      </x:c>
      <x:c r="C122" s="15" t="str">
        <x:v>C01</x:v>
      </x:c>
      <x:c r="D122" s="15" t="str">
        <x:v>Career Steering</x:v>
      </x:c>
      <x:c r="E122" s="15" t="str">
        <x:v>Let’s Eat, Grandma</x:v>
      </x:c>
      <x:c r="F122" s="34" t="n">
        <x:f>'Score Inputs'!L25</x:f>
        <x:v>82.25</x:v>
      </x:c>
      <x:c r="G122" s="34" t="n">
        <x:f>'Score Inputs'!L6</x:f>
        <x:v>80.25</x:v>
      </x:c>
      <x:c r="H122" s="34" t="n">
        <x:f>F122-G122</x:f>
        <x:v>2</x:v>
      </x:c>
      <x:c r="I122" s="15" t="str">
        <x:f>IF(F122=G122,"Tie",IF(F122&gt;G122,D122,E122))</x:f>
        <x:v>Career Steering</x:v>
      </x:c>
      <x:c r="J122" s="15" t="str">
        <x:f>IF(H122=0,"Exact score tie",IF(ABS(H122)&lt;2,"Close editorial call","Model preference"))</x:f>
        <x:v>Model preference</x:v>
      </x:c>
      <x:c r="K122" s="15" t="str">
        <x:v>S001 S002 S003 S004 S093 S118 S120</x:v>
      </x:c>
    </x:row>
    <x:row r="123" ht="64" customHeight="1">
      <x:c r="A123" s="15" t="n">
        <x:v>118</x:v>
      </x:c>
      <x:c r="B123" s="15" t="str">
        <x:v>C20</x:v>
      </x:c>
      <x:c r="C123" s="15" t="str">
        <x:v>C22</x:v>
      </x:c>
      <x:c r="D123" s="15" t="str">
        <x:v>Career Steering</x:v>
      </x:c>
      <x:c r="E123" s="15" t="str">
        <x:v>Briefcase Coach</x:v>
      </x:c>
      <x:c r="F123" s="34" t="n">
        <x:f>'Score Inputs'!L25</x:f>
        <x:v>82.25</x:v>
      </x:c>
      <x:c r="G123" s="34" t="n">
        <x:f>'Score Inputs'!L27</x:f>
        <x:v>79.25</x:v>
      </x:c>
      <x:c r="H123" s="34" t="n">
        <x:f>F123-G123</x:f>
        <x:v>3</x:v>
      </x:c>
      <x:c r="I123" s="15" t="str">
        <x:f>IF(F123=G123,"Tie",IF(F123&gt;G123,D123,E123))</x:f>
        <x:v>Career Steering</x:v>
      </x:c>
      <x:c r="J123" s="15" t="str">
        <x:f>IF(H123=0,"Exact score tie",IF(ABS(H123)&lt;2,"Close editorial call","Model preference"))</x:f>
        <x:v>Model preference</x:v>
      </x:c>
      <x:c r="K123" s="15" t="str">
        <x:v>S093 S097 S098 S109 S110 S118 S120</x:v>
      </x:c>
    </x:row>
    <x:row r="124" ht="64" customHeight="1">
      <x:c r="A124" s="15" t="n">
        <x:v>119</x:v>
      </x:c>
      <x:c r="B124" s="15" t="str">
        <x:v>C20</x:v>
      </x:c>
      <x:c r="C124" s="15" t="str">
        <x:v>C21</x:v>
      </x:c>
      <x:c r="D124" s="15" t="str">
        <x:v>Career Steering</x:v>
      </x:c>
      <x:c r="E124" s="15" t="str">
        <x:v>Blue Sky Resumes</x:v>
      </x:c>
      <x:c r="F124" s="34" t="n">
        <x:f>'Score Inputs'!L25</x:f>
        <x:v>82.25</x:v>
      </x:c>
      <x:c r="G124" s="34" t="n">
        <x:f>'Score Inputs'!L26</x:f>
        <x:v>79.25</x:v>
      </x:c>
      <x:c r="H124" s="34" t="n">
        <x:f>F124-G124</x:f>
        <x:v>3</x:v>
      </x:c>
      <x:c r="I124" s="15" t="str">
        <x:f>IF(F124=G124,"Tie",IF(F124&gt;G124,D124,E124))</x:f>
        <x:v>Career Steering</x:v>
      </x:c>
      <x:c r="J124" s="15" t="str">
        <x:f>IF(H124=0,"Exact score tie",IF(ABS(H124)&lt;2,"Close editorial call","Model preference"))</x:f>
        <x:v>Model preference</x:v>
      </x:c>
      <x:c r="K124" s="15" t="str">
        <x:v>S093 S095 S096 S111 S112 S118 S120</x:v>
      </x:c>
    </x:row>
    <x:row r="125" ht="64" customHeight="1">
      <x:c r="A125" s="15" t="n">
        <x:v>120</x:v>
      </x:c>
      <x:c r="B125" s="15" t="str">
        <x:v>C20</x:v>
      </x:c>
      <x:c r="C125" s="15" t="str">
        <x:v>C19</x:v>
      </x:c>
      <x:c r="D125" s="15" t="str">
        <x:v>Career Steering</x:v>
      </x:c>
      <x:c r="E125" s="15" t="str">
        <x:v>CareerProPlus / CareerPro Global</x:v>
      </x:c>
      <x:c r="F125" s="34" t="n">
        <x:f>'Score Inputs'!L25</x:f>
        <x:v>82.25</x:v>
      </x:c>
      <x:c r="G125" s="34" t="n">
        <x:f>'Score Inputs'!L24</x:f>
        <x:v>77.5</x:v>
      </x:c>
      <x:c r="H125" s="34" t="n">
        <x:f>F125-G125</x:f>
        <x:v>4.75</x:v>
      </x:c>
      <x:c r="I125" s="15" t="str">
        <x:f>IF(F125=G125,"Tie",IF(F125&gt;G125,D125,E125))</x:f>
        <x:v>Career Steering</x:v>
      </x:c>
      <x:c r="J125" s="15" t="str">
        <x:f>IF(H125=0,"Exact score tie",IF(ABS(H125)&lt;2,"Close editorial call","Model preference"))</x:f>
        <x:v>Model preference</x:v>
      </x:c>
      <x:c r="K125" s="15" t="str">
        <x:v>S089 S090 S091 S092 S093 S118 S120</x:v>
      </x:c>
    </x:row>
    <x:row r="126" ht="64" customHeight="1">
      <x:c r="A126" s="15" t="n">
        <x:v>121</x:v>
      </x:c>
      <x:c r="B126" s="15" t="str">
        <x:v>C20</x:v>
      </x:c>
      <x:c r="C126" s="15" t="str">
        <x:v>C24</x:v>
      </x:c>
      <x:c r="D126" s="15" t="str">
        <x:v>Career Steering</x:v>
      </x:c>
      <x:c r="E126" s="15" t="str">
        <x:v>Scientech Resumes / Scientech Career Systems</x:v>
      </x:c>
      <x:c r="F126" s="34" t="n">
        <x:f>'Score Inputs'!L25</x:f>
        <x:v>82.25</x:v>
      </x:c>
      <x:c r="G126" s="34" t="n">
        <x:f>'Score Inputs'!L29</x:f>
        <x:v>77.25</x:v>
      </x:c>
      <x:c r="H126" s="34" t="n">
        <x:f>F126-G126</x:f>
        <x:v>5</x:v>
      </x:c>
      <x:c r="I126" s="15" t="str">
        <x:f>IF(F126=G126,"Tie",IF(F126&gt;G126,D126,E126))</x:f>
        <x:v>Career Steering</x:v>
      </x:c>
      <x:c r="J126" s="15" t="str">
        <x:f>IF(H126=0,"Exact score tie",IF(ABS(H126)&lt;2,"Close editorial call","Model preference"))</x:f>
        <x:v>Model preference</x:v>
      </x:c>
      <x:c r="K126" s="15" t="str">
        <x:v>S093 S102 S104 S113 S114 S118 S120</x:v>
      </x:c>
    </x:row>
    <x:row r="127" ht="64" customHeight="1">
      <x:c r="A127" s="15" t="n">
        <x:v>122</x:v>
      </x:c>
      <x:c r="B127" s="15" t="str">
        <x:v>C20</x:v>
      </x:c>
      <x:c r="C127" s="15" t="str">
        <x:v>C03</x:v>
      </x:c>
      <x:c r="D127" s="15" t="str">
        <x:v>Career Steering</x:v>
      </x:c>
      <x:c r="E127" s="15" t="str">
        <x:v>TopStack Resume</x:v>
      </x:c>
      <x:c r="F127" s="34" t="n">
        <x:f>'Score Inputs'!L25</x:f>
        <x:v>82.25</x:v>
      </x:c>
      <x:c r="G127" s="34" t="n">
        <x:f>'Score Inputs'!L8</x:f>
        <x:v>76.75</x:v>
      </x:c>
      <x:c r="H127" s="34" t="n">
        <x:f>F127-G127</x:f>
        <x:v>5.5</x:v>
      </x:c>
      <x:c r="I127" s="15" t="str">
        <x:f>IF(F127=G127,"Tie",IF(F127&gt;G127,D127,E127))</x:f>
        <x:v>Career Steering</x:v>
      </x:c>
      <x:c r="J127" s="15" t="str">
        <x:f>IF(H127=0,"Exact score tie",IF(ABS(H127)&lt;2,"Close editorial call","Model preference"))</x:f>
        <x:v>Model preference</x:v>
      </x:c>
      <x:c r="K127" s="15" t="str">
        <x:v>S010 S011 S012 S013 S093 S108 S118 S120</x:v>
      </x:c>
    </x:row>
    <x:row r="128" ht="64" customHeight="1">
      <x:c r="A128" s="15" t="n">
        <x:v>123</x:v>
      </x:c>
      <x:c r="B128" s="15" t="str">
        <x:v>C20</x:v>
      </x:c>
      <x:c r="C128" s="15" t="str">
        <x:v>C08</x:v>
      </x:c>
      <x:c r="D128" s="15" t="str">
        <x:v>Career Steering</x:v>
      </x:c>
      <x:c r="E128" s="15" t="str">
        <x:v>The Resume Place</x:v>
      </x:c>
      <x:c r="F128" s="34" t="n">
        <x:f>'Score Inputs'!L25</x:f>
        <x:v>82.25</x:v>
      </x:c>
      <x:c r="G128" s="34" t="n">
        <x:f>'Score Inputs'!L13</x:f>
        <x:v>76.75</x:v>
      </x:c>
      <x:c r="H128" s="34" t="n">
        <x:f>F128-G128</x:f>
        <x:v>5.5</x:v>
      </x:c>
      <x:c r="I128" s="15" t="str">
        <x:f>IF(F128=G128,"Tie",IF(F128&gt;G128,D128,E128))</x:f>
        <x:v>Career Steering</x:v>
      </x:c>
      <x:c r="J128" s="15" t="str">
        <x:f>IF(H128=0,"Exact score tie",IF(ABS(H128)&lt;2,"Close editorial call","Model preference"))</x:f>
        <x:v>Model preference</x:v>
      </x:c>
      <x:c r="K128" s="15" t="str">
        <x:v>S037 S038 S039 S040 S066 S093 S118 S120</x:v>
      </x:c>
    </x:row>
    <x:row r="129" ht="64" customHeight="1">
      <x:c r="A129" s="15" t="n">
        <x:v>124</x:v>
      </x:c>
      <x:c r="B129" s="15" t="str">
        <x:v>C20</x:v>
      </x:c>
      <x:c r="C129" s="15" t="str">
        <x:v>C23</x:v>
      </x:c>
      <x:c r="D129" s="15" t="str">
        <x:v>Career Steering</x:v>
      </x:c>
      <x:c r="E129" s="15" t="str">
        <x:v>Klaxos</x:v>
      </x:c>
      <x:c r="F129" s="34" t="n">
        <x:f>'Score Inputs'!L25</x:f>
        <x:v>82.25</x:v>
      </x:c>
      <x:c r="G129" s="34" t="n">
        <x:f>'Score Inputs'!L28</x:f>
        <x:v>75.75</x:v>
      </x:c>
      <x:c r="H129" s="34" t="n">
        <x:f>F129-G129</x:f>
        <x:v>6.5</x:v>
      </x:c>
      <x:c r="I129" s="15" t="str">
        <x:f>IF(F129=G129,"Tie",IF(F129&gt;G129,D129,E129))</x:f>
        <x:v>Career Steering</x:v>
      </x:c>
      <x:c r="J129" s="15" t="str">
        <x:f>IF(H129=0,"Exact score tie",IF(ABS(H129)&lt;2,"Close editorial call","Model preference"))</x:f>
        <x:v>Model preference</x:v>
      </x:c>
      <x:c r="K129" s="15" t="str">
        <x:v>S093 S099 S100 S101 S118 S120</x:v>
      </x:c>
    </x:row>
    <x:row r="130" ht="64" customHeight="1">
      <x:c r="A130" s="15" t="n">
        <x:v>125</x:v>
      </x:c>
      <x:c r="B130" s="15" t="str">
        <x:v>C20</x:v>
      </x:c>
      <x:c r="C130" s="15" t="str">
        <x:v>C04</x:v>
      </x:c>
      <x:c r="D130" s="15" t="str">
        <x:v>Career Steering</x:v>
      </x:c>
      <x:c r="E130" s="15" t="str">
        <x:v>Resumeble</x:v>
      </x:c>
      <x:c r="F130" s="34" t="n">
        <x:f>'Score Inputs'!L25</x:f>
        <x:v>82.25</x:v>
      </x:c>
      <x:c r="G130" s="34" t="n">
        <x:f>'Score Inputs'!L9</x:f>
        <x:v>74.5</x:v>
      </x:c>
      <x:c r="H130" s="34" t="n">
        <x:f>F130-G130</x:f>
        <x:v>7.75</x:v>
      </x:c>
      <x:c r="I130" s="15" t="str">
        <x:f>IF(F130=G130,"Tie",IF(F130&gt;G130,D130,E130))</x:f>
        <x:v>Career Steering</x:v>
      </x:c>
      <x:c r="J130" s="15" t="str">
        <x:f>IF(H130=0,"Exact score tie",IF(ABS(H130)&lt;2,"Close editorial call","Model preference"))</x:f>
        <x:v>Model preference</x:v>
      </x:c>
      <x:c r="K130" s="15" t="str">
        <x:v>S014 S015 S016 S017 S018 S019 S093 S118 S120</x:v>
      </x:c>
    </x:row>
    <x:row r="131" ht="64" customHeight="1">
      <x:c r="A131" s="15" t="n">
        <x:v>126</x:v>
      </x:c>
      <x:c r="B131" s="15" t="str">
        <x:v>C20</x:v>
      </x:c>
      <x:c r="C131" s="15" t="str">
        <x:v>C16</x:v>
      </x:c>
      <x:c r="D131" s="15" t="str">
        <x:v>Career Steering</x:v>
      </x:c>
      <x:c r="E131" s="15" t="str">
        <x:v>Resume Target</x:v>
      </x:c>
      <x:c r="F131" s="34" t="n">
        <x:f>'Score Inputs'!L25</x:f>
        <x:v>82.25</x:v>
      </x:c>
      <x:c r="G131" s="34" t="n">
        <x:f>'Score Inputs'!L21</x:f>
        <x:v>74.5</x:v>
      </x:c>
      <x:c r="H131" s="34" t="n">
        <x:f>F131-G131</x:f>
        <x:v>7.75</x:v>
      </x:c>
      <x:c r="I131" s="15" t="str">
        <x:f>IF(F131=G131,"Tie",IF(F131&gt;G131,D131,E131))</x:f>
        <x:v>Career Steering</x:v>
      </x:c>
      <x:c r="J131" s="15" t="str">
        <x:f>IF(H131=0,"Exact score tie",IF(ABS(H131)&lt;2,"Close editorial call","Model preference"))</x:f>
        <x:v>Model preference</x:v>
      </x:c>
      <x:c r="K131" s="15" t="str">
        <x:v>S075 S076 S077 S078 S093 S118 S120</x:v>
      </x:c>
    </x:row>
    <x:row r="132" ht="64" customHeight="1">
      <x:c r="A132" s="15" t="n">
        <x:v>127</x:v>
      </x:c>
      <x:c r="B132" s="15" t="str">
        <x:v>C20</x:v>
      </x:c>
      <x:c r="C132" s="15" t="str">
        <x:v>C11</x:v>
      </x:c>
      <x:c r="D132" s="15" t="str">
        <x:v>Career Steering</x:v>
      </x:c>
      <x:c r="E132" s="15" t="str">
        <x:v>Resume Professional Writers</x:v>
      </x:c>
      <x:c r="F132" s="34" t="n">
        <x:f>'Score Inputs'!L25</x:f>
        <x:v>82.25</x:v>
      </x:c>
      <x:c r="G132" s="34" t="n">
        <x:f>'Score Inputs'!L16</x:f>
        <x:v>65.75</x:v>
      </x:c>
      <x:c r="H132" s="34" t="n">
        <x:f>F132-G132</x:f>
        <x:v>16.5</x:v>
      </x:c>
      <x:c r="I132" s="15" t="str">
        <x:f>IF(F132=G132,"Tie",IF(F132&gt;G132,D132,E132))</x:f>
        <x:v>Career Steering</x:v>
      </x:c>
      <x:c r="J132" s="15" t="str">
        <x:f>IF(H132=0,"Exact score tie",IF(ABS(H132)&lt;2,"Close editorial call","Model preference"))</x:f>
        <x:v>Model preference</x:v>
      </x:c>
      <x:c r="K132" s="15" t="str">
        <x:v>S051 S052 S053 S054 S093 S118 S120</x:v>
      </x:c>
    </x:row>
    <x:row r="133" ht="64" customHeight="1">
      <x:c r="A133" s="15" t="n">
        <x:v>128</x:v>
      </x:c>
      <x:c r="B133" s="15" t="str">
        <x:v>C20</x:v>
      </x:c>
      <x:c r="C133" s="15" t="str">
        <x:v>C07</x:v>
      </x:c>
      <x:c r="D133" s="15" t="str">
        <x:v>Career Steering</x:v>
      </x:c>
      <x:c r="E133" s="15" t="str">
        <x:v>TopResume</x:v>
      </x:c>
      <x:c r="F133" s="34" t="n">
        <x:f>'Score Inputs'!L25</x:f>
        <x:v>82.25</x:v>
      </x:c>
      <x:c r="G133" s="34" t="n">
        <x:f>'Score Inputs'!L12</x:f>
        <x:v>62.75</x:v>
      </x:c>
      <x:c r="H133" s="34" t="n">
        <x:f>F133-G133</x:f>
        <x:v>19.5</x:v>
      </x:c>
      <x:c r="I133" s="15" t="str">
        <x:f>IF(F133=G133,"Tie",IF(F133&gt;G133,D133,E133))</x:f>
        <x:v>Career Steering</x:v>
      </x:c>
      <x:c r="J133" s="15" t="str">
        <x:f>IF(H133=0,"Exact score tie",IF(ABS(H133)&lt;2,"Close editorial call","Model preference"))</x:f>
        <x:v>Model preference</x:v>
      </x:c>
      <x:c r="K133" s="15" t="str">
        <x:v>S029 S030 S031 S032 S034 S035 S036 S093 S118 S120</x:v>
      </x:c>
    </x:row>
    <x:row r="134" ht="64" customHeight="1">
      <x:c r="A134" s="15" t="n">
        <x:v>129</x:v>
      </x:c>
      <x:c r="B134" s="15" t="str">
        <x:v>C20</x:v>
      </x:c>
      <x:c r="C134" s="15" t="str">
        <x:v>C14</x:v>
      </x:c>
      <x:c r="D134" s="15" t="str">
        <x:v>Career Steering</x:v>
      </x:c>
      <x:c r="E134" s="15" t="str">
        <x:v>Resume Writing Group</x:v>
      </x:c>
      <x:c r="F134" s="34" t="n">
        <x:f>'Score Inputs'!L25</x:f>
        <x:v>82.25</x:v>
      </x:c>
      <x:c r="G134" s="34" t="n">
        <x:f>'Score Inputs'!L19</x:f>
        <x:v>59.75</x:v>
      </x:c>
      <x:c r="H134" s="34" t="n">
        <x:f>F134-G134</x:f>
        <x:v>22.5</x:v>
      </x:c>
      <x:c r="I134" s="15" t="str">
        <x:f>IF(F134=G134,"Tie",IF(F134&gt;G134,D134,E134))</x:f>
        <x:v>Career Steering</x:v>
      </x:c>
      <x:c r="J134" s="15" t="str">
        <x:f>IF(H134=0,"Exact score tie",IF(ABS(H134)&lt;2,"Close editorial call","Model preference"))</x:f>
        <x:v>Model preference</x:v>
      </x:c>
      <x:c r="K134" s="15" t="str">
        <x:v>S067 S068 S069 S070 S093 S118 S120</x:v>
      </x:c>
    </x:row>
    <x:row r="135" ht="64" customHeight="1">
      <x:c r="A135" s="15" t="n">
        <x:v>130</x:v>
      </x:c>
      <x:c r="B135" s="15" t="str">
        <x:v>C05</x:v>
      </x:c>
      <x:c r="C135" s="15" t="str">
        <x:v>C02</x:v>
      </x:c>
      <x:c r="D135" s="15" t="str">
        <x:v>ResumeSpice</x:v>
      </x:c>
      <x:c r="E135" s="15" t="str">
        <x:v>Find My Profession</x:v>
      </x:c>
      <x:c r="F135" s="34" t="n">
        <x:f>'Score Inputs'!L10</x:f>
        <x:v>82</x:v>
      </x:c>
      <x:c r="G135" s="34" t="n">
        <x:f>'Score Inputs'!L7</x:f>
        <x:v>80.75</x:v>
      </x:c>
      <x:c r="H135" s="34" t="n">
        <x:f>F135-G135</x:f>
        <x:v>1.25</x:v>
      </x:c>
      <x:c r="I135" s="15" t="str">
        <x:f>IF(F135=G135,"Tie",IF(F135&gt;G135,D135,E135))</x:f>
        <x:v>ResumeSpice</x:v>
      </x:c>
      <x:c r="J135" s="15" t="str">
        <x:f>IF(H135=0,"Exact score tie",IF(ABS(H135)&lt;2,"Close editorial call","Model preference"))</x:f>
        <x:v>Close editorial call</x:v>
      </x:c>
      <x:c r="K135" s="15" t="str">
        <x:v>S005 S007 S008 S009 S020 S021 S022 S023 S024 S123</x:v>
      </x:c>
    </x:row>
    <x:row r="136" ht="64" customHeight="1">
      <x:c r="A136" s="15" t="n">
        <x:v>131</x:v>
      </x:c>
      <x:c r="B136" s="15" t="str">
        <x:v>C05</x:v>
      </x:c>
      <x:c r="C136" s="15" t="str">
        <x:v>C25</x:v>
      </x:c>
      <x:c r="D136" s="15" t="str">
        <x:v>ResumeSpice</x:v>
      </x:c>
      <x:c r="E136" s="15" t="str">
        <x:v>Employment BOOST</x:v>
      </x:c>
      <x:c r="F136" s="34" t="n">
        <x:f>'Score Inputs'!L10</x:f>
        <x:v>82</x:v>
      </x:c>
      <x:c r="G136" s="34" t="n">
        <x:f>'Score Inputs'!L30</x:f>
        <x:v>80.5</x:v>
      </x:c>
      <x:c r="H136" s="34" t="n">
        <x:f>F136-G136</x:f>
        <x:v>1.5</x:v>
      </x:c>
      <x:c r="I136" s="15" t="str">
        <x:f>IF(F136=G136,"Tie",IF(F136&gt;G136,D136,E136))</x:f>
        <x:v>ResumeSpice</x:v>
      </x:c>
      <x:c r="J136" s="15" t="str">
        <x:f>IF(H136=0,"Exact score tie",IF(ABS(H136)&lt;2,"Close editorial call","Model preference"))</x:f>
        <x:v>Close editorial call</x:v>
      </x:c>
      <x:c r="K136" s="15" t="str">
        <x:v>S020 S021 S022 S023 S024 S105 S106 S107 S115</x:v>
      </x:c>
    </x:row>
    <x:row r="137" ht="64" customHeight="1">
      <x:c r="A137" s="15" t="n">
        <x:v>132</x:v>
      </x:c>
      <x:c r="B137" s="15" t="str">
        <x:v>C05</x:v>
      </x:c>
      <x:c r="C137" s="15" t="str">
        <x:v>C10</x:v>
      </x:c>
      <x:c r="D137" s="15" t="str">
        <x:v>ResumeSpice</x:v>
      </x:c>
      <x:c r="E137" s="15" t="str">
        <x:v>JobStars USA</x:v>
      </x:c>
      <x:c r="F137" s="34" t="n">
        <x:f>'Score Inputs'!L10</x:f>
        <x:v>82</x:v>
      </x:c>
      <x:c r="G137" s="34" t="n">
        <x:f>'Score Inputs'!L15</x:f>
        <x:v>80.5</x:v>
      </x:c>
      <x:c r="H137" s="34" t="n">
        <x:f>F137-G137</x:f>
        <x:v>1.5</x:v>
      </x:c>
      <x:c r="I137" s="15" t="str">
        <x:f>IF(F137=G137,"Tie",IF(F137&gt;G137,D137,E137))</x:f>
        <x:v>ResumeSpice</x:v>
      </x:c>
      <x:c r="J137" s="15" t="str">
        <x:f>IF(H137=0,"Exact score tie",IF(ABS(H137)&lt;2,"Close editorial call","Model preference"))</x:f>
        <x:v>Close editorial call</x:v>
      </x:c>
      <x:c r="K137" s="15" t="str">
        <x:v>S020 S021 S022 S023 S024 S047 S048 S049 S050</x:v>
      </x:c>
    </x:row>
    <x:row r="138" ht="64" customHeight="1">
      <x:c r="A138" s="15" t="n">
        <x:v>133</x:v>
      </x:c>
      <x:c r="B138" s="15" t="str">
        <x:v>C05</x:v>
      </x:c>
      <x:c r="C138" s="15" t="str">
        <x:v>C06</x:v>
      </x:c>
      <x:c r="D138" s="15" t="str">
        <x:v>ResumeSpice</x:v>
      </x:c>
      <x:c r="E138" s="15" t="str">
        <x:v>Great Resumes Fast</x:v>
      </x:c>
      <x:c r="F138" s="34" t="n">
        <x:f>'Score Inputs'!L10</x:f>
        <x:v>82</x:v>
      </x:c>
      <x:c r="G138" s="34" t="n">
        <x:f>'Score Inputs'!L11</x:f>
        <x:v>80.5</x:v>
      </x:c>
      <x:c r="H138" s="34" t="n">
        <x:f>F138-G138</x:f>
        <x:v>1.5</x:v>
      </x:c>
      <x:c r="I138" s="15" t="str">
        <x:f>IF(F138=G138,"Tie",IF(F138&gt;G138,D138,E138))</x:f>
        <x:v>ResumeSpice</x:v>
      </x:c>
      <x:c r="J138" s="15" t="str">
        <x:f>IF(H138=0,"Exact score tie",IF(ABS(H138)&lt;2,"Close editorial call","Model preference"))</x:f>
        <x:v>Close editorial call</x:v>
      </x:c>
      <x:c r="K138" s="15" t="str">
        <x:v>S020 S021 S022 S023 S024 S025 S026 S027 S028 S122</x:v>
      </x:c>
    </x:row>
    <x:row r="139" ht="64" customHeight="1">
      <x:c r="A139" s="15" t="n">
        <x:v>134</x:v>
      </x:c>
      <x:c r="B139" s="15" t="str">
        <x:v>C05</x:v>
      </x:c>
      <x:c r="C139" s="15" t="str">
        <x:v>C12</x:v>
      </x:c>
      <x:c r="D139" s="15" t="str">
        <x:v>ResumeSpice</x:v>
      </x:c>
      <x:c r="E139" s="15" t="str">
        <x:v>iCareerSolutions</x:v>
      </x:c>
      <x:c r="F139" s="34" t="n">
        <x:f>'Score Inputs'!L10</x:f>
        <x:v>82</x:v>
      </x:c>
      <x:c r="G139" s="34" t="n">
        <x:f>'Score Inputs'!L17</x:f>
        <x:v>80.5</x:v>
      </x:c>
      <x:c r="H139" s="34" t="n">
        <x:f>F139-G139</x:f>
        <x:v>1.5</x:v>
      </x:c>
      <x:c r="I139" s="15" t="str">
        <x:f>IF(F139=G139,"Tie",IF(F139&gt;G139,D139,E139))</x:f>
        <x:v>ResumeSpice</x:v>
      </x:c>
      <x:c r="J139" s="15" t="str">
        <x:f>IF(H139=0,"Exact score tie",IF(ABS(H139)&lt;2,"Close editorial call","Model preference"))</x:f>
        <x:v>Close editorial call</x:v>
      </x:c>
      <x:c r="K139" s="15" t="str">
        <x:v>S020 S021 S022 S023 S024 S055 S056 S057 S058 S059</x:v>
      </x:c>
    </x:row>
    <x:row r="140" ht="64" customHeight="1">
      <x:c r="A140" s="15" t="n">
        <x:v>135</x:v>
      </x:c>
      <x:c r="B140" s="15" t="str">
        <x:v>C05</x:v>
      </x:c>
      <x:c r="C140" s="15" t="str">
        <x:v>C01</x:v>
      </x:c>
      <x:c r="D140" s="15" t="str">
        <x:v>ResumeSpice</x:v>
      </x:c>
      <x:c r="E140" s="15" t="str">
        <x:v>Let’s Eat, Grandma</x:v>
      </x:c>
      <x:c r="F140" s="34" t="n">
        <x:f>'Score Inputs'!L10</x:f>
        <x:v>82</x:v>
      </x:c>
      <x:c r="G140" s="34" t="n">
        <x:f>'Score Inputs'!L6</x:f>
        <x:v>80.25</x:v>
      </x:c>
      <x:c r="H140" s="34" t="n">
        <x:f>F140-G140</x:f>
        <x:v>1.75</x:v>
      </x:c>
      <x:c r="I140" s="15" t="str">
        <x:f>IF(F140=G140,"Tie",IF(F140&gt;G140,D140,E140))</x:f>
        <x:v>ResumeSpice</x:v>
      </x:c>
      <x:c r="J140" s="15" t="str">
        <x:f>IF(H140=0,"Exact score tie",IF(ABS(H140)&lt;2,"Close editorial call","Model preference"))</x:f>
        <x:v>Close editorial call</x:v>
      </x:c>
      <x:c r="K140" s="15" t="str">
        <x:v>S001 S002 S003 S004 S020 S021 S022 S023 S024</x:v>
      </x:c>
    </x:row>
    <x:row r="141" ht="64" customHeight="1">
      <x:c r="A141" s="15" t="n">
        <x:v>136</x:v>
      </x:c>
      <x:c r="B141" s="15" t="str">
        <x:v>C05</x:v>
      </x:c>
      <x:c r="C141" s="15" t="str">
        <x:v>C22</x:v>
      </x:c>
      <x:c r="D141" s="15" t="str">
        <x:v>ResumeSpice</x:v>
      </x:c>
      <x:c r="E141" s="15" t="str">
        <x:v>Briefcase Coach</x:v>
      </x:c>
      <x:c r="F141" s="34" t="n">
        <x:f>'Score Inputs'!L10</x:f>
        <x:v>82</x:v>
      </x:c>
      <x:c r="G141" s="34" t="n">
        <x:f>'Score Inputs'!L27</x:f>
        <x:v>79.25</x:v>
      </x:c>
      <x:c r="H141" s="34" t="n">
        <x:f>F141-G141</x:f>
        <x:v>2.75</x:v>
      </x:c>
      <x:c r="I141" s="15" t="str">
        <x:f>IF(F141=G141,"Tie",IF(F141&gt;G141,D141,E141))</x:f>
        <x:v>ResumeSpice</x:v>
      </x:c>
      <x:c r="J141" s="15" t="str">
        <x:f>IF(H141=0,"Exact score tie",IF(ABS(H141)&lt;2,"Close editorial call","Model preference"))</x:f>
        <x:v>Model preference</x:v>
      </x:c>
      <x:c r="K141" s="15" t="str">
        <x:v>S020 S021 S022 S023 S024 S097 S098 S109 S110</x:v>
      </x:c>
    </x:row>
    <x:row r="142" ht="64" customHeight="1">
      <x:c r="A142" s="15" t="n">
        <x:v>137</x:v>
      </x:c>
      <x:c r="B142" s="15" t="str">
        <x:v>C05</x:v>
      </x:c>
      <x:c r="C142" s="15" t="str">
        <x:v>C21</x:v>
      </x:c>
      <x:c r="D142" s="15" t="str">
        <x:v>ResumeSpice</x:v>
      </x:c>
      <x:c r="E142" s="15" t="str">
        <x:v>Blue Sky Resumes</x:v>
      </x:c>
      <x:c r="F142" s="34" t="n">
        <x:f>'Score Inputs'!L10</x:f>
        <x:v>82</x:v>
      </x:c>
      <x:c r="G142" s="34" t="n">
        <x:f>'Score Inputs'!L26</x:f>
        <x:v>79.25</x:v>
      </x:c>
      <x:c r="H142" s="34" t="n">
        <x:f>F142-G142</x:f>
        <x:v>2.75</x:v>
      </x:c>
      <x:c r="I142" s="15" t="str">
        <x:f>IF(F142=G142,"Tie",IF(F142&gt;G142,D142,E142))</x:f>
        <x:v>ResumeSpice</x:v>
      </x:c>
      <x:c r="J142" s="15" t="str">
        <x:f>IF(H142=0,"Exact score tie",IF(ABS(H142)&lt;2,"Close editorial call","Model preference"))</x:f>
        <x:v>Model preference</x:v>
      </x:c>
      <x:c r="K142" s="15" t="str">
        <x:v>S020 S021 S022 S023 S024 S095 S096 S111 S112</x:v>
      </x:c>
    </x:row>
    <x:row r="143" ht="64" customHeight="1">
      <x:c r="A143" s="15" t="n">
        <x:v>138</x:v>
      </x:c>
      <x:c r="B143" s="15" t="str">
        <x:v>C05</x:v>
      </x:c>
      <x:c r="C143" s="15" t="str">
        <x:v>C19</x:v>
      </x:c>
      <x:c r="D143" s="15" t="str">
        <x:v>ResumeSpice</x:v>
      </x:c>
      <x:c r="E143" s="15" t="str">
        <x:v>CareerProPlus / CareerPro Global</x:v>
      </x:c>
      <x:c r="F143" s="34" t="n">
        <x:f>'Score Inputs'!L10</x:f>
        <x:v>82</x:v>
      </x:c>
      <x:c r="G143" s="34" t="n">
        <x:f>'Score Inputs'!L24</x:f>
        <x:v>77.5</x:v>
      </x:c>
      <x:c r="H143" s="34" t="n">
        <x:f>F143-G143</x:f>
        <x:v>4.5</x:v>
      </x:c>
      <x:c r="I143" s="15" t="str">
        <x:f>IF(F143=G143,"Tie",IF(F143&gt;G143,D143,E143))</x:f>
        <x:v>ResumeSpice</x:v>
      </x:c>
      <x:c r="J143" s="15" t="str">
        <x:f>IF(H143=0,"Exact score tie",IF(ABS(H143)&lt;2,"Close editorial call","Model preference"))</x:f>
        <x:v>Model preference</x:v>
      </x:c>
      <x:c r="K143" s="15" t="str">
        <x:v>S020 S021 S022 S023 S024 S089 S090 S091 S092</x:v>
      </x:c>
    </x:row>
    <x:row r="144" ht="64" customHeight="1">
      <x:c r="A144" s="15" t="n">
        <x:v>139</x:v>
      </x:c>
      <x:c r="B144" s="15" t="str">
        <x:v>C05</x:v>
      </x:c>
      <x:c r="C144" s="15" t="str">
        <x:v>C24</x:v>
      </x:c>
      <x:c r="D144" s="15" t="str">
        <x:v>ResumeSpice</x:v>
      </x:c>
      <x:c r="E144" s="15" t="str">
        <x:v>Scientech Resumes / Scientech Career Systems</x:v>
      </x:c>
      <x:c r="F144" s="34" t="n">
        <x:f>'Score Inputs'!L10</x:f>
        <x:v>82</x:v>
      </x:c>
      <x:c r="G144" s="34" t="n">
        <x:f>'Score Inputs'!L29</x:f>
        <x:v>77.25</x:v>
      </x:c>
      <x:c r="H144" s="34" t="n">
        <x:f>F144-G144</x:f>
        <x:v>4.75</x:v>
      </x:c>
      <x:c r="I144" s="15" t="str">
        <x:f>IF(F144=G144,"Tie",IF(F144&gt;G144,D144,E144))</x:f>
        <x:v>ResumeSpice</x:v>
      </x:c>
      <x:c r="J144" s="15" t="str">
        <x:f>IF(H144=0,"Exact score tie",IF(ABS(H144)&lt;2,"Close editorial call","Model preference"))</x:f>
        <x:v>Model preference</x:v>
      </x:c>
      <x:c r="K144" s="15" t="str">
        <x:v>S020 S021 S022 S023 S024 S102 S104 S113 S114</x:v>
      </x:c>
    </x:row>
    <x:row r="145" ht="64" customHeight="1">
      <x:c r="A145" s="15" t="n">
        <x:v>140</x:v>
      </x:c>
      <x:c r="B145" s="15" t="str">
        <x:v>C05</x:v>
      </x:c>
      <x:c r="C145" s="15" t="str">
        <x:v>C03</x:v>
      </x:c>
      <x:c r="D145" s="15" t="str">
        <x:v>ResumeSpice</x:v>
      </x:c>
      <x:c r="E145" s="15" t="str">
        <x:v>TopStack Resume</x:v>
      </x:c>
      <x:c r="F145" s="34" t="n">
        <x:f>'Score Inputs'!L10</x:f>
        <x:v>82</x:v>
      </x:c>
      <x:c r="G145" s="34" t="n">
        <x:f>'Score Inputs'!L8</x:f>
        <x:v>76.75</x:v>
      </x:c>
      <x:c r="H145" s="34" t="n">
        <x:f>F145-G145</x:f>
        <x:v>5.25</x:v>
      </x:c>
      <x:c r="I145" s="15" t="str">
        <x:f>IF(F145=G145,"Tie",IF(F145&gt;G145,D145,E145))</x:f>
        <x:v>ResumeSpice</x:v>
      </x:c>
      <x:c r="J145" s="15" t="str">
        <x:f>IF(H145=0,"Exact score tie",IF(ABS(H145)&lt;2,"Close editorial call","Model preference"))</x:f>
        <x:v>Model preference</x:v>
      </x:c>
      <x:c r="K145" s="15" t="str">
        <x:v>S010 S011 S012 S013 S020 S021 S022 S023 S024 S108</x:v>
      </x:c>
    </x:row>
    <x:row r="146" ht="64" customHeight="1">
      <x:c r="A146" s="15" t="n">
        <x:v>141</x:v>
      </x:c>
      <x:c r="B146" s="15" t="str">
        <x:v>C05</x:v>
      </x:c>
      <x:c r="C146" s="15" t="str">
        <x:v>C08</x:v>
      </x:c>
      <x:c r="D146" s="15" t="str">
        <x:v>ResumeSpice</x:v>
      </x:c>
      <x:c r="E146" s="15" t="str">
        <x:v>The Resume Place</x:v>
      </x:c>
      <x:c r="F146" s="34" t="n">
        <x:f>'Score Inputs'!L10</x:f>
        <x:v>82</x:v>
      </x:c>
      <x:c r="G146" s="34" t="n">
        <x:f>'Score Inputs'!L13</x:f>
        <x:v>76.75</x:v>
      </x:c>
      <x:c r="H146" s="34" t="n">
        <x:f>F146-G146</x:f>
        <x:v>5.25</x:v>
      </x:c>
      <x:c r="I146" s="15" t="str">
        <x:f>IF(F146=G146,"Tie",IF(F146&gt;G146,D146,E146))</x:f>
        <x:v>ResumeSpice</x:v>
      </x:c>
      <x:c r="J146" s="15" t="str">
        <x:f>IF(H146=0,"Exact score tie",IF(ABS(H146)&lt;2,"Close editorial call","Model preference"))</x:f>
        <x:v>Model preference</x:v>
      </x:c>
      <x:c r="K146" s="15" t="str">
        <x:v>S020 S021 S022 S023 S024 S037 S038 S039 S040 S066</x:v>
      </x:c>
    </x:row>
    <x:row r="147" ht="64" customHeight="1">
      <x:c r="A147" s="15" t="n">
        <x:v>142</x:v>
      </x:c>
      <x:c r="B147" s="15" t="str">
        <x:v>C05</x:v>
      </x:c>
      <x:c r="C147" s="15" t="str">
        <x:v>C23</x:v>
      </x:c>
      <x:c r="D147" s="15" t="str">
        <x:v>ResumeSpice</x:v>
      </x:c>
      <x:c r="E147" s="15" t="str">
        <x:v>Klaxos</x:v>
      </x:c>
      <x:c r="F147" s="34" t="n">
        <x:f>'Score Inputs'!L10</x:f>
        <x:v>82</x:v>
      </x:c>
      <x:c r="G147" s="34" t="n">
        <x:f>'Score Inputs'!L28</x:f>
        <x:v>75.75</x:v>
      </x:c>
      <x:c r="H147" s="34" t="n">
        <x:f>F147-G147</x:f>
        <x:v>6.25</x:v>
      </x:c>
      <x:c r="I147" s="15" t="str">
        <x:f>IF(F147=G147,"Tie",IF(F147&gt;G147,D147,E147))</x:f>
        <x:v>ResumeSpice</x:v>
      </x:c>
      <x:c r="J147" s="15" t="str">
        <x:f>IF(H147=0,"Exact score tie",IF(ABS(H147)&lt;2,"Close editorial call","Model preference"))</x:f>
        <x:v>Model preference</x:v>
      </x:c>
      <x:c r="K147" s="15" t="str">
        <x:v>S020 S021 S022 S023 S024 S099 S100 S101</x:v>
      </x:c>
    </x:row>
    <x:row r="148" ht="64" customHeight="1">
      <x:c r="A148" s="15" t="n">
        <x:v>143</x:v>
      </x:c>
      <x:c r="B148" s="15" t="str">
        <x:v>C05</x:v>
      </x:c>
      <x:c r="C148" s="15" t="str">
        <x:v>C04</x:v>
      </x:c>
      <x:c r="D148" s="15" t="str">
        <x:v>ResumeSpice</x:v>
      </x:c>
      <x:c r="E148" s="15" t="str">
        <x:v>Resumeble</x:v>
      </x:c>
      <x:c r="F148" s="34" t="n">
        <x:f>'Score Inputs'!L10</x:f>
        <x:v>82</x:v>
      </x:c>
      <x:c r="G148" s="34" t="n">
        <x:f>'Score Inputs'!L9</x:f>
        <x:v>74.5</x:v>
      </x:c>
      <x:c r="H148" s="34" t="n">
        <x:f>F148-G148</x:f>
        <x:v>7.5</x:v>
      </x:c>
      <x:c r="I148" s="15" t="str">
        <x:f>IF(F148=G148,"Tie",IF(F148&gt;G148,D148,E148))</x:f>
        <x:v>ResumeSpice</x:v>
      </x:c>
      <x:c r="J148" s="15" t="str">
        <x:f>IF(H148=0,"Exact score tie",IF(ABS(H148)&lt;2,"Close editorial call","Model preference"))</x:f>
        <x:v>Model preference</x:v>
      </x:c>
      <x:c r="K148" s="15" t="str">
        <x:v>S014 S015 S016 S017 S018 S019 S020 S021 S022 S023 S024</x:v>
      </x:c>
    </x:row>
    <x:row r="149" ht="64" customHeight="1">
      <x:c r="A149" s="15" t="n">
        <x:v>144</x:v>
      </x:c>
      <x:c r="B149" s="15" t="str">
        <x:v>C05</x:v>
      </x:c>
      <x:c r="C149" s="15" t="str">
        <x:v>C16</x:v>
      </x:c>
      <x:c r="D149" s="15" t="str">
        <x:v>ResumeSpice</x:v>
      </x:c>
      <x:c r="E149" s="15" t="str">
        <x:v>Resume Target</x:v>
      </x:c>
      <x:c r="F149" s="34" t="n">
        <x:f>'Score Inputs'!L10</x:f>
        <x:v>82</x:v>
      </x:c>
      <x:c r="G149" s="34" t="n">
        <x:f>'Score Inputs'!L21</x:f>
        <x:v>74.5</x:v>
      </x:c>
      <x:c r="H149" s="34" t="n">
        <x:f>F149-G149</x:f>
        <x:v>7.5</x:v>
      </x:c>
      <x:c r="I149" s="15" t="str">
        <x:f>IF(F149=G149,"Tie",IF(F149&gt;G149,D149,E149))</x:f>
        <x:v>ResumeSpice</x:v>
      </x:c>
      <x:c r="J149" s="15" t="str">
        <x:f>IF(H149=0,"Exact score tie",IF(ABS(H149)&lt;2,"Close editorial call","Model preference"))</x:f>
        <x:v>Model preference</x:v>
      </x:c>
      <x:c r="K149" s="15" t="str">
        <x:v>S020 S021 S022 S023 S024 S075 S076 S077 S078</x:v>
      </x:c>
    </x:row>
    <x:row r="150" ht="64" customHeight="1">
      <x:c r="A150" s="15" t="n">
        <x:v>145</x:v>
      </x:c>
      <x:c r="B150" s="15" t="str">
        <x:v>C05</x:v>
      </x:c>
      <x:c r="C150" s="15" t="str">
        <x:v>C11</x:v>
      </x:c>
      <x:c r="D150" s="15" t="str">
        <x:v>ResumeSpice</x:v>
      </x:c>
      <x:c r="E150" s="15" t="str">
        <x:v>Resume Professional Writers</x:v>
      </x:c>
      <x:c r="F150" s="34" t="n">
        <x:f>'Score Inputs'!L10</x:f>
        <x:v>82</x:v>
      </x:c>
      <x:c r="G150" s="34" t="n">
        <x:f>'Score Inputs'!L16</x:f>
        <x:v>65.75</x:v>
      </x:c>
      <x:c r="H150" s="34" t="n">
        <x:f>F150-G150</x:f>
        <x:v>16.25</x:v>
      </x:c>
      <x:c r="I150" s="15" t="str">
        <x:f>IF(F150=G150,"Tie",IF(F150&gt;G150,D150,E150))</x:f>
        <x:v>ResumeSpice</x:v>
      </x:c>
      <x:c r="J150" s="15" t="str">
        <x:f>IF(H150=0,"Exact score tie",IF(ABS(H150)&lt;2,"Close editorial call","Model preference"))</x:f>
        <x:v>Model preference</x:v>
      </x:c>
      <x:c r="K150" s="15" t="str">
        <x:v>S020 S021 S022 S023 S024 S051 S052 S053 S054</x:v>
      </x:c>
    </x:row>
    <x:row r="151" ht="64" customHeight="1">
      <x:c r="A151" s="15" t="n">
        <x:v>146</x:v>
      </x:c>
      <x:c r="B151" s="15" t="str">
        <x:v>C05</x:v>
      </x:c>
      <x:c r="C151" s="15" t="str">
        <x:v>C07</x:v>
      </x:c>
      <x:c r="D151" s="15" t="str">
        <x:v>ResumeSpice</x:v>
      </x:c>
      <x:c r="E151" s="15" t="str">
        <x:v>TopResume</x:v>
      </x:c>
      <x:c r="F151" s="34" t="n">
        <x:f>'Score Inputs'!L10</x:f>
        <x:v>82</x:v>
      </x:c>
      <x:c r="G151" s="34" t="n">
        <x:f>'Score Inputs'!L12</x:f>
        <x:v>62.75</x:v>
      </x:c>
      <x:c r="H151" s="34" t="n">
        <x:f>F151-G151</x:f>
        <x:v>19.25</x:v>
      </x:c>
      <x:c r="I151" s="15" t="str">
        <x:f>IF(F151=G151,"Tie",IF(F151&gt;G151,D151,E151))</x:f>
        <x:v>ResumeSpice</x:v>
      </x:c>
      <x:c r="J151" s="15" t="str">
        <x:f>IF(H151=0,"Exact score tie",IF(ABS(H151)&lt;2,"Close editorial call","Model preference"))</x:f>
        <x:v>Model preference</x:v>
      </x:c>
      <x:c r="K151" s="15" t="str">
        <x:v>S020 S021 S022 S023 S024 S029 S030 S031 S032 S034 S035 S036</x:v>
      </x:c>
    </x:row>
    <x:row r="152" ht="64" customHeight="1">
      <x:c r="A152" s="15" t="n">
        <x:v>147</x:v>
      </x:c>
      <x:c r="B152" s="15" t="str">
        <x:v>C05</x:v>
      </x:c>
      <x:c r="C152" s="15" t="str">
        <x:v>C14</x:v>
      </x:c>
      <x:c r="D152" s="15" t="str">
        <x:v>ResumeSpice</x:v>
      </x:c>
      <x:c r="E152" s="15" t="str">
        <x:v>Resume Writing Group</x:v>
      </x:c>
      <x:c r="F152" s="34" t="n">
        <x:f>'Score Inputs'!L10</x:f>
        <x:v>82</x:v>
      </x:c>
      <x:c r="G152" s="34" t="n">
        <x:f>'Score Inputs'!L19</x:f>
        <x:v>59.75</x:v>
      </x:c>
      <x:c r="H152" s="34" t="n">
        <x:f>F152-G152</x:f>
        <x:v>22.25</x:v>
      </x:c>
      <x:c r="I152" s="15" t="str">
        <x:f>IF(F152=G152,"Tie",IF(F152&gt;G152,D152,E152))</x:f>
        <x:v>ResumeSpice</x:v>
      </x:c>
      <x:c r="J152" s="15" t="str">
        <x:f>IF(H152=0,"Exact score tie",IF(ABS(H152)&lt;2,"Close editorial call","Model preference"))</x:f>
        <x:v>Model preference</x:v>
      </x:c>
      <x:c r="K152" s="15" t="str">
        <x:v>S020 S021 S022 S023 S024 S067 S068 S069 S070</x:v>
      </x:c>
    </x:row>
    <x:row r="153" ht="64" customHeight="1">
      <x:c r="A153" s="15" t="n">
        <x:v>148</x:v>
      </x:c>
      <x:c r="B153" s="15" t="str">
        <x:v>C02</x:v>
      </x:c>
      <x:c r="C153" s="15" t="str">
        <x:v>C25</x:v>
      </x:c>
      <x:c r="D153" s="15" t="str">
        <x:v>Find My Profession</x:v>
      </x:c>
      <x:c r="E153" s="15" t="str">
        <x:v>Employment BOOST</x:v>
      </x:c>
      <x:c r="F153" s="34" t="n">
        <x:f>'Score Inputs'!L7</x:f>
        <x:v>80.75</x:v>
      </x:c>
      <x:c r="G153" s="34" t="n">
        <x:f>'Score Inputs'!L30</x:f>
        <x:v>80.5</x:v>
      </x:c>
      <x:c r="H153" s="34" t="n">
        <x:f>F153-G153</x:f>
        <x:v>0.25</x:v>
      </x:c>
      <x:c r="I153" s="15" t="str">
        <x:f>IF(F153=G153,"Tie",IF(F153&gt;G153,D153,E153))</x:f>
        <x:v>Find My Profession</x:v>
      </x:c>
      <x:c r="J153" s="15" t="str">
        <x:f>IF(H153=0,"Exact score tie",IF(ABS(H153)&lt;2,"Close editorial call","Model preference"))</x:f>
        <x:v>Close editorial call</x:v>
      </x:c>
      <x:c r="K153" s="15" t="str">
        <x:v>S005 S007 S008 S009 S105 S106 S107 S115 S123</x:v>
      </x:c>
    </x:row>
    <x:row r="154" ht="64" customHeight="1">
      <x:c r="A154" s="15" t="n">
        <x:v>149</x:v>
      </x:c>
      <x:c r="B154" s="15" t="str">
        <x:v>C02</x:v>
      </x:c>
      <x:c r="C154" s="15" t="str">
        <x:v>C10</x:v>
      </x:c>
      <x:c r="D154" s="15" t="str">
        <x:v>Find My Profession</x:v>
      </x:c>
      <x:c r="E154" s="15" t="str">
        <x:v>JobStars USA</x:v>
      </x:c>
      <x:c r="F154" s="34" t="n">
        <x:f>'Score Inputs'!L7</x:f>
        <x:v>80.75</x:v>
      </x:c>
      <x:c r="G154" s="34" t="n">
        <x:f>'Score Inputs'!L15</x:f>
        <x:v>80.5</x:v>
      </x:c>
      <x:c r="H154" s="34" t="n">
        <x:f>F154-G154</x:f>
        <x:v>0.25</x:v>
      </x:c>
      <x:c r="I154" s="15" t="str">
        <x:f>IF(F154=G154,"Tie",IF(F154&gt;G154,D154,E154))</x:f>
        <x:v>Find My Profession</x:v>
      </x:c>
      <x:c r="J154" s="15" t="str">
        <x:f>IF(H154=0,"Exact score tie",IF(ABS(H154)&lt;2,"Close editorial call","Model preference"))</x:f>
        <x:v>Close editorial call</x:v>
      </x:c>
      <x:c r="K154" s="15" t="str">
        <x:v>S005 S007 S008 S009 S047 S048 S049 S050 S123</x:v>
      </x:c>
    </x:row>
    <x:row r="155" ht="64" customHeight="1">
      <x:c r="A155" s="15" t="n">
        <x:v>150</x:v>
      </x:c>
      <x:c r="B155" s="15" t="str">
        <x:v>C02</x:v>
      </x:c>
      <x:c r="C155" s="15" t="str">
        <x:v>C06</x:v>
      </x:c>
      <x:c r="D155" s="15" t="str">
        <x:v>Find My Profession</x:v>
      </x:c>
      <x:c r="E155" s="15" t="str">
        <x:v>Great Resumes Fast</x:v>
      </x:c>
      <x:c r="F155" s="34" t="n">
        <x:f>'Score Inputs'!L7</x:f>
        <x:v>80.75</x:v>
      </x:c>
      <x:c r="G155" s="34" t="n">
        <x:f>'Score Inputs'!L11</x:f>
        <x:v>80.5</x:v>
      </x:c>
      <x:c r="H155" s="34" t="n">
        <x:f>F155-G155</x:f>
        <x:v>0.25</x:v>
      </x:c>
      <x:c r="I155" s="15" t="str">
        <x:f>IF(F155=G155,"Tie",IF(F155&gt;G155,D155,E155))</x:f>
        <x:v>Find My Profession</x:v>
      </x:c>
      <x:c r="J155" s="15" t="str">
        <x:f>IF(H155=0,"Exact score tie",IF(ABS(H155)&lt;2,"Close editorial call","Model preference"))</x:f>
        <x:v>Close editorial call</x:v>
      </x:c>
      <x:c r="K155" s="15" t="str">
        <x:v>S005 S007 S008 S009 S025 S026 S027 S028 S122 S123</x:v>
      </x:c>
    </x:row>
    <x:row r="156" ht="64" customHeight="1">
      <x:c r="A156" s="15" t="n">
        <x:v>151</x:v>
      </x:c>
      <x:c r="B156" s="15" t="str">
        <x:v>C02</x:v>
      </x:c>
      <x:c r="C156" s="15" t="str">
        <x:v>C12</x:v>
      </x:c>
      <x:c r="D156" s="15" t="str">
        <x:v>Find My Profession</x:v>
      </x:c>
      <x:c r="E156" s="15" t="str">
        <x:v>iCareerSolutions</x:v>
      </x:c>
      <x:c r="F156" s="34" t="n">
        <x:f>'Score Inputs'!L7</x:f>
        <x:v>80.75</x:v>
      </x:c>
      <x:c r="G156" s="34" t="n">
        <x:f>'Score Inputs'!L17</x:f>
        <x:v>80.5</x:v>
      </x:c>
      <x:c r="H156" s="34" t="n">
        <x:f>F156-G156</x:f>
        <x:v>0.25</x:v>
      </x:c>
      <x:c r="I156" s="15" t="str">
        <x:f>IF(F156=G156,"Tie",IF(F156&gt;G156,D156,E156))</x:f>
        <x:v>Find My Profession</x:v>
      </x:c>
      <x:c r="J156" s="15" t="str">
        <x:f>IF(H156=0,"Exact score tie",IF(ABS(H156)&lt;2,"Close editorial call","Model preference"))</x:f>
        <x:v>Close editorial call</x:v>
      </x:c>
      <x:c r="K156" s="15" t="str">
        <x:v>S005 S007 S008 S009 S055 S056 S057 S058 S059 S123</x:v>
      </x:c>
    </x:row>
    <x:row r="157" ht="64" customHeight="1">
      <x:c r="A157" s="15" t="n">
        <x:v>152</x:v>
      </x:c>
      <x:c r="B157" s="15" t="str">
        <x:v>C02</x:v>
      </x:c>
      <x:c r="C157" s="15" t="str">
        <x:v>C01</x:v>
      </x:c>
      <x:c r="D157" s="15" t="str">
        <x:v>Find My Profession</x:v>
      </x:c>
      <x:c r="E157" s="15" t="str">
        <x:v>Let’s Eat, Grandma</x:v>
      </x:c>
      <x:c r="F157" s="34" t="n">
        <x:f>'Score Inputs'!L7</x:f>
        <x:v>80.75</x:v>
      </x:c>
      <x:c r="G157" s="34" t="n">
        <x:f>'Score Inputs'!L6</x:f>
        <x:v>80.25</x:v>
      </x:c>
      <x:c r="H157" s="34" t="n">
        <x:f>F157-G157</x:f>
        <x:v>0.5</x:v>
      </x:c>
      <x:c r="I157" s="15" t="str">
        <x:f>IF(F157=G157,"Tie",IF(F157&gt;G157,D157,E157))</x:f>
        <x:v>Find My Profession</x:v>
      </x:c>
      <x:c r="J157" s="15" t="str">
        <x:f>IF(H157=0,"Exact score tie",IF(ABS(H157)&lt;2,"Close editorial call","Model preference"))</x:f>
        <x:v>Close editorial call</x:v>
      </x:c>
      <x:c r="K157" s="15" t="str">
        <x:v>S001 S002 S003 S004 S005 S007 S008 S009 S123</x:v>
      </x:c>
    </x:row>
    <x:row r="158" ht="64" customHeight="1">
      <x:c r="A158" s="15" t="n">
        <x:v>153</x:v>
      </x:c>
      <x:c r="B158" s="15" t="str">
        <x:v>C02</x:v>
      </x:c>
      <x:c r="C158" s="15" t="str">
        <x:v>C22</x:v>
      </x:c>
      <x:c r="D158" s="15" t="str">
        <x:v>Find My Profession</x:v>
      </x:c>
      <x:c r="E158" s="15" t="str">
        <x:v>Briefcase Coach</x:v>
      </x:c>
      <x:c r="F158" s="34" t="n">
        <x:f>'Score Inputs'!L7</x:f>
        <x:v>80.75</x:v>
      </x:c>
      <x:c r="G158" s="34" t="n">
        <x:f>'Score Inputs'!L27</x:f>
        <x:v>79.25</x:v>
      </x:c>
      <x:c r="H158" s="34" t="n">
        <x:f>F158-G158</x:f>
        <x:v>1.5</x:v>
      </x:c>
      <x:c r="I158" s="15" t="str">
        <x:f>IF(F158=G158,"Tie",IF(F158&gt;G158,D158,E158))</x:f>
        <x:v>Find My Profession</x:v>
      </x:c>
      <x:c r="J158" s="15" t="str">
        <x:f>IF(H158=0,"Exact score tie",IF(ABS(H158)&lt;2,"Close editorial call","Model preference"))</x:f>
        <x:v>Close editorial call</x:v>
      </x:c>
      <x:c r="K158" s="15" t="str">
        <x:v>S005 S007 S008 S009 S097 S098 S109 S110 S123</x:v>
      </x:c>
    </x:row>
    <x:row r="159" ht="64" customHeight="1">
      <x:c r="A159" s="15" t="n">
        <x:v>154</x:v>
      </x:c>
      <x:c r="B159" s="15" t="str">
        <x:v>C02</x:v>
      </x:c>
      <x:c r="C159" s="15" t="str">
        <x:v>C21</x:v>
      </x:c>
      <x:c r="D159" s="15" t="str">
        <x:v>Find My Profession</x:v>
      </x:c>
      <x:c r="E159" s="15" t="str">
        <x:v>Blue Sky Resumes</x:v>
      </x:c>
      <x:c r="F159" s="34" t="n">
        <x:f>'Score Inputs'!L7</x:f>
        <x:v>80.75</x:v>
      </x:c>
      <x:c r="G159" s="34" t="n">
        <x:f>'Score Inputs'!L26</x:f>
        <x:v>79.25</x:v>
      </x:c>
      <x:c r="H159" s="34" t="n">
        <x:f>F159-G159</x:f>
        <x:v>1.5</x:v>
      </x:c>
      <x:c r="I159" s="15" t="str">
        <x:f>IF(F159=G159,"Tie",IF(F159&gt;G159,D159,E159))</x:f>
        <x:v>Find My Profession</x:v>
      </x:c>
      <x:c r="J159" s="15" t="str">
        <x:f>IF(H159=0,"Exact score tie",IF(ABS(H159)&lt;2,"Close editorial call","Model preference"))</x:f>
        <x:v>Close editorial call</x:v>
      </x:c>
      <x:c r="K159" s="15" t="str">
        <x:v>S005 S007 S008 S009 S095 S096 S111 S112 S123</x:v>
      </x:c>
    </x:row>
    <x:row r="160" ht="64" customHeight="1">
      <x:c r="A160" s="15" t="n">
        <x:v>155</x:v>
      </x:c>
      <x:c r="B160" s="15" t="str">
        <x:v>C02</x:v>
      </x:c>
      <x:c r="C160" s="15" t="str">
        <x:v>C19</x:v>
      </x:c>
      <x:c r="D160" s="15" t="str">
        <x:v>Find My Profession</x:v>
      </x:c>
      <x:c r="E160" s="15" t="str">
        <x:v>CareerProPlus / CareerPro Global</x:v>
      </x:c>
      <x:c r="F160" s="34" t="n">
        <x:f>'Score Inputs'!L7</x:f>
        <x:v>80.75</x:v>
      </x:c>
      <x:c r="G160" s="34" t="n">
        <x:f>'Score Inputs'!L24</x:f>
        <x:v>77.5</x:v>
      </x:c>
      <x:c r="H160" s="34" t="n">
        <x:f>F160-G160</x:f>
        <x:v>3.25</x:v>
      </x:c>
      <x:c r="I160" s="15" t="str">
        <x:f>IF(F160=G160,"Tie",IF(F160&gt;G160,D160,E160))</x:f>
        <x:v>Find My Profession</x:v>
      </x:c>
      <x:c r="J160" s="15" t="str">
        <x:f>IF(H160=0,"Exact score tie",IF(ABS(H160)&lt;2,"Close editorial call","Model preference"))</x:f>
        <x:v>Model preference</x:v>
      </x:c>
      <x:c r="K160" s="15" t="str">
        <x:v>S005 S007 S008 S009 S089 S090 S091 S092 S123</x:v>
      </x:c>
    </x:row>
    <x:row r="161" ht="64" customHeight="1">
      <x:c r="A161" s="15" t="n">
        <x:v>156</x:v>
      </x:c>
      <x:c r="B161" s="15" t="str">
        <x:v>C02</x:v>
      </x:c>
      <x:c r="C161" s="15" t="str">
        <x:v>C24</x:v>
      </x:c>
      <x:c r="D161" s="15" t="str">
        <x:v>Find My Profession</x:v>
      </x:c>
      <x:c r="E161" s="15" t="str">
        <x:v>Scientech Resumes / Scientech Career Systems</x:v>
      </x:c>
      <x:c r="F161" s="34" t="n">
        <x:f>'Score Inputs'!L7</x:f>
        <x:v>80.75</x:v>
      </x:c>
      <x:c r="G161" s="34" t="n">
        <x:f>'Score Inputs'!L29</x:f>
        <x:v>77.25</x:v>
      </x:c>
      <x:c r="H161" s="34" t="n">
        <x:f>F161-G161</x:f>
        <x:v>3.5</x:v>
      </x:c>
      <x:c r="I161" s="15" t="str">
        <x:f>IF(F161=G161,"Tie",IF(F161&gt;G161,D161,E161))</x:f>
        <x:v>Find My Profession</x:v>
      </x:c>
      <x:c r="J161" s="15" t="str">
        <x:f>IF(H161=0,"Exact score tie",IF(ABS(H161)&lt;2,"Close editorial call","Model preference"))</x:f>
        <x:v>Model preference</x:v>
      </x:c>
      <x:c r="K161" s="15" t="str">
        <x:v>S005 S007 S008 S009 S102 S104 S113 S114 S123</x:v>
      </x:c>
    </x:row>
    <x:row r="162" ht="64" customHeight="1">
      <x:c r="A162" s="15" t="n">
        <x:v>157</x:v>
      </x:c>
      <x:c r="B162" s="15" t="str">
        <x:v>C02</x:v>
      </x:c>
      <x:c r="C162" s="15" t="str">
        <x:v>C03</x:v>
      </x:c>
      <x:c r="D162" s="15" t="str">
        <x:v>Find My Profession</x:v>
      </x:c>
      <x:c r="E162" s="15" t="str">
        <x:v>TopStack Resume</x:v>
      </x:c>
      <x:c r="F162" s="34" t="n">
        <x:f>'Score Inputs'!L7</x:f>
        <x:v>80.75</x:v>
      </x:c>
      <x:c r="G162" s="34" t="n">
        <x:f>'Score Inputs'!L8</x:f>
        <x:v>76.75</x:v>
      </x:c>
      <x:c r="H162" s="34" t="n">
        <x:f>F162-G162</x:f>
        <x:v>4</x:v>
      </x:c>
      <x:c r="I162" s="15" t="str">
        <x:f>IF(F162=G162,"Tie",IF(F162&gt;G162,D162,E162))</x:f>
        <x:v>Find My Profession</x:v>
      </x:c>
      <x:c r="J162" s="15" t="str">
        <x:f>IF(H162=0,"Exact score tie",IF(ABS(H162)&lt;2,"Close editorial call","Model preference"))</x:f>
        <x:v>Model preference</x:v>
      </x:c>
      <x:c r="K162" s="15" t="str">
        <x:v>S005 S007 S008 S009 S010 S011 S012 S013 S108 S123</x:v>
      </x:c>
    </x:row>
    <x:row r="163" ht="64" customHeight="1">
      <x:c r="A163" s="15" t="n">
        <x:v>158</x:v>
      </x:c>
      <x:c r="B163" s="15" t="str">
        <x:v>C02</x:v>
      </x:c>
      <x:c r="C163" s="15" t="str">
        <x:v>C08</x:v>
      </x:c>
      <x:c r="D163" s="15" t="str">
        <x:v>Find My Profession</x:v>
      </x:c>
      <x:c r="E163" s="15" t="str">
        <x:v>The Resume Place</x:v>
      </x:c>
      <x:c r="F163" s="34" t="n">
        <x:f>'Score Inputs'!L7</x:f>
        <x:v>80.75</x:v>
      </x:c>
      <x:c r="G163" s="34" t="n">
        <x:f>'Score Inputs'!L13</x:f>
        <x:v>76.75</x:v>
      </x:c>
      <x:c r="H163" s="34" t="n">
        <x:f>F163-G163</x:f>
        <x:v>4</x:v>
      </x:c>
      <x:c r="I163" s="15" t="str">
        <x:f>IF(F163=G163,"Tie",IF(F163&gt;G163,D163,E163))</x:f>
        <x:v>Find My Profession</x:v>
      </x:c>
      <x:c r="J163" s="15" t="str">
        <x:f>IF(H163=0,"Exact score tie",IF(ABS(H163)&lt;2,"Close editorial call","Model preference"))</x:f>
        <x:v>Model preference</x:v>
      </x:c>
      <x:c r="K163" s="15" t="str">
        <x:v>S005 S007 S008 S009 S037 S038 S039 S040 S066 S123</x:v>
      </x:c>
    </x:row>
    <x:row r="164" ht="64" customHeight="1">
      <x:c r="A164" s="15" t="n">
        <x:v>159</x:v>
      </x:c>
      <x:c r="B164" s="15" t="str">
        <x:v>C02</x:v>
      </x:c>
      <x:c r="C164" s="15" t="str">
        <x:v>C23</x:v>
      </x:c>
      <x:c r="D164" s="15" t="str">
        <x:v>Find My Profession</x:v>
      </x:c>
      <x:c r="E164" s="15" t="str">
        <x:v>Klaxos</x:v>
      </x:c>
      <x:c r="F164" s="34" t="n">
        <x:f>'Score Inputs'!L7</x:f>
        <x:v>80.75</x:v>
      </x:c>
      <x:c r="G164" s="34" t="n">
        <x:f>'Score Inputs'!L28</x:f>
        <x:v>75.75</x:v>
      </x:c>
      <x:c r="H164" s="34" t="n">
        <x:f>F164-G164</x:f>
        <x:v>5</x:v>
      </x:c>
      <x:c r="I164" s="15" t="str">
        <x:f>IF(F164=G164,"Tie",IF(F164&gt;G164,D164,E164))</x:f>
        <x:v>Find My Profession</x:v>
      </x:c>
      <x:c r="J164" s="15" t="str">
        <x:f>IF(H164=0,"Exact score tie",IF(ABS(H164)&lt;2,"Close editorial call","Model preference"))</x:f>
        <x:v>Model preference</x:v>
      </x:c>
      <x:c r="K164" s="15" t="str">
        <x:v>S005 S007 S008 S009 S099 S100 S101 S123</x:v>
      </x:c>
    </x:row>
    <x:row r="165" ht="64" customHeight="1">
      <x:c r="A165" s="15" t="n">
        <x:v>160</x:v>
      </x:c>
      <x:c r="B165" s="15" t="str">
        <x:v>C02</x:v>
      </x:c>
      <x:c r="C165" s="15" t="str">
        <x:v>C04</x:v>
      </x:c>
      <x:c r="D165" s="15" t="str">
        <x:v>Find My Profession</x:v>
      </x:c>
      <x:c r="E165" s="15" t="str">
        <x:v>Resumeble</x:v>
      </x:c>
      <x:c r="F165" s="34" t="n">
        <x:f>'Score Inputs'!L7</x:f>
        <x:v>80.75</x:v>
      </x:c>
      <x:c r="G165" s="34" t="n">
        <x:f>'Score Inputs'!L9</x:f>
        <x:v>74.5</x:v>
      </x:c>
      <x:c r="H165" s="34" t="n">
        <x:f>F165-G165</x:f>
        <x:v>6.25</x:v>
      </x:c>
      <x:c r="I165" s="15" t="str">
        <x:f>IF(F165=G165,"Tie",IF(F165&gt;G165,D165,E165))</x:f>
        <x:v>Find My Profession</x:v>
      </x:c>
      <x:c r="J165" s="15" t="str">
        <x:f>IF(H165=0,"Exact score tie",IF(ABS(H165)&lt;2,"Close editorial call","Model preference"))</x:f>
        <x:v>Model preference</x:v>
      </x:c>
      <x:c r="K165" s="15" t="str">
        <x:v>S005 S007 S008 S009 S014 S015 S016 S017 S018 S019 S123</x:v>
      </x:c>
    </x:row>
    <x:row r="166" ht="64" customHeight="1">
      <x:c r="A166" s="15" t="n">
        <x:v>161</x:v>
      </x:c>
      <x:c r="B166" s="15" t="str">
        <x:v>C02</x:v>
      </x:c>
      <x:c r="C166" s="15" t="str">
        <x:v>C16</x:v>
      </x:c>
      <x:c r="D166" s="15" t="str">
        <x:v>Find My Profession</x:v>
      </x:c>
      <x:c r="E166" s="15" t="str">
        <x:v>Resume Target</x:v>
      </x:c>
      <x:c r="F166" s="34" t="n">
        <x:f>'Score Inputs'!L7</x:f>
        <x:v>80.75</x:v>
      </x:c>
      <x:c r="G166" s="34" t="n">
        <x:f>'Score Inputs'!L21</x:f>
        <x:v>74.5</x:v>
      </x:c>
      <x:c r="H166" s="34" t="n">
        <x:f>F166-G166</x:f>
        <x:v>6.25</x:v>
      </x:c>
      <x:c r="I166" s="15" t="str">
        <x:f>IF(F166=G166,"Tie",IF(F166&gt;G166,D166,E166))</x:f>
        <x:v>Find My Profession</x:v>
      </x:c>
      <x:c r="J166" s="15" t="str">
        <x:f>IF(H166=0,"Exact score tie",IF(ABS(H166)&lt;2,"Close editorial call","Model preference"))</x:f>
        <x:v>Model preference</x:v>
      </x:c>
      <x:c r="K166" s="15" t="str">
        <x:v>S005 S007 S008 S009 S075 S076 S077 S078 S123</x:v>
      </x:c>
    </x:row>
    <x:row r="167" ht="64" customHeight="1">
      <x:c r="A167" s="15" t="n">
        <x:v>162</x:v>
      </x:c>
      <x:c r="B167" s="15" t="str">
        <x:v>C02</x:v>
      </x:c>
      <x:c r="C167" s="15" t="str">
        <x:v>C11</x:v>
      </x:c>
      <x:c r="D167" s="15" t="str">
        <x:v>Find My Profession</x:v>
      </x:c>
      <x:c r="E167" s="15" t="str">
        <x:v>Resume Professional Writers</x:v>
      </x:c>
      <x:c r="F167" s="34" t="n">
        <x:f>'Score Inputs'!L7</x:f>
        <x:v>80.75</x:v>
      </x:c>
      <x:c r="G167" s="34" t="n">
        <x:f>'Score Inputs'!L16</x:f>
        <x:v>65.75</x:v>
      </x:c>
      <x:c r="H167" s="34" t="n">
        <x:f>F167-G167</x:f>
        <x:v>15</x:v>
      </x:c>
      <x:c r="I167" s="15" t="str">
        <x:f>IF(F167=G167,"Tie",IF(F167&gt;G167,D167,E167))</x:f>
        <x:v>Find My Profession</x:v>
      </x:c>
      <x:c r="J167" s="15" t="str">
        <x:f>IF(H167=0,"Exact score tie",IF(ABS(H167)&lt;2,"Close editorial call","Model preference"))</x:f>
        <x:v>Model preference</x:v>
      </x:c>
      <x:c r="K167" s="15" t="str">
        <x:v>S005 S007 S008 S009 S051 S052 S053 S054 S123</x:v>
      </x:c>
    </x:row>
    <x:row r="168" ht="64" customHeight="1">
      <x:c r="A168" s="15" t="n">
        <x:v>163</x:v>
      </x:c>
      <x:c r="B168" s="15" t="str">
        <x:v>C02</x:v>
      </x:c>
      <x:c r="C168" s="15" t="str">
        <x:v>C07</x:v>
      </x:c>
      <x:c r="D168" s="15" t="str">
        <x:v>Find My Profession</x:v>
      </x:c>
      <x:c r="E168" s="15" t="str">
        <x:v>TopResume</x:v>
      </x:c>
      <x:c r="F168" s="34" t="n">
        <x:f>'Score Inputs'!L7</x:f>
        <x:v>80.75</x:v>
      </x:c>
      <x:c r="G168" s="34" t="n">
        <x:f>'Score Inputs'!L12</x:f>
        <x:v>62.75</x:v>
      </x:c>
      <x:c r="H168" s="34" t="n">
        <x:f>F168-G168</x:f>
        <x:v>18</x:v>
      </x:c>
      <x:c r="I168" s="15" t="str">
        <x:f>IF(F168=G168,"Tie",IF(F168&gt;G168,D168,E168))</x:f>
        <x:v>Find My Profession</x:v>
      </x:c>
      <x:c r="J168" s="15" t="str">
        <x:f>IF(H168=0,"Exact score tie",IF(ABS(H168)&lt;2,"Close editorial call","Model preference"))</x:f>
        <x:v>Model preference</x:v>
      </x:c>
      <x:c r="K168" s="15" t="str">
        <x:v>S005 S007 S008 S009 S029 S030 S031 S032 S034 S035 S036 S123</x:v>
      </x:c>
    </x:row>
    <x:row r="169" ht="64" customHeight="1">
      <x:c r="A169" s="15" t="n">
        <x:v>164</x:v>
      </x:c>
      <x:c r="B169" s="15" t="str">
        <x:v>C02</x:v>
      </x:c>
      <x:c r="C169" s="15" t="str">
        <x:v>C14</x:v>
      </x:c>
      <x:c r="D169" s="15" t="str">
        <x:v>Find My Profession</x:v>
      </x:c>
      <x:c r="E169" s="15" t="str">
        <x:v>Resume Writing Group</x:v>
      </x:c>
      <x:c r="F169" s="34" t="n">
        <x:f>'Score Inputs'!L7</x:f>
        <x:v>80.75</x:v>
      </x:c>
      <x:c r="G169" s="34" t="n">
        <x:f>'Score Inputs'!L19</x:f>
        <x:v>59.75</x:v>
      </x:c>
      <x:c r="H169" s="34" t="n">
        <x:f>F169-G169</x:f>
        <x:v>21</x:v>
      </x:c>
      <x:c r="I169" s="15" t="str">
        <x:f>IF(F169=G169,"Tie",IF(F169&gt;G169,D169,E169))</x:f>
        <x:v>Find My Profession</x:v>
      </x:c>
      <x:c r="J169" s="15" t="str">
        <x:f>IF(H169=0,"Exact score tie",IF(ABS(H169)&lt;2,"Close editorial call","Model preference"))</x:f>
        <x:v>Model preference</x:v>
      </x:c>
      <x:c r="K169" s="15" t="str">
        <x:v>S005 S007 S008 S009 S067 S068 S069 S070 S123</x:v>
      </x:c>
    </x:row>
    <x:row r="170" ht="64" customHeight="1">
      <x:c r="A170" s="15" t="n">
        <x:v>165</x:v>
      </x:c>
      <x:c r="B170" s="15" t="str">
        <x:v>C25</x:v>
      </x:c>
      <x:c r="C170" s="15" t="str">
        <x:v>C10</x:v>
      </x:c>
      <x:c r="D170" s="15" t="str">
        <x:v>Employment BOOST</x:v>
      </x:c>
      <x:c r="E170" s="15" t="str">
        <x:v>JobStars USA</x:v>
      </x:c>
      <x:c r="F170" s="34" t="n">
        <x:f>'Score Inputs'!L30</x:f>
        <x:v>80.5</x:v>
      </x:c>
      <x:c r="G170" s="34" t="n">
        <x:f>'Score Inputs'!L15</x:f>
        <x:v>80.5</x:v>
      </x:c>
      <x:c r="H170" s="34" t="n">
        <x:f>F170-G170</x:f>
        <x:v>0</x:v>
      </x:c>
      <x:c r="I170" s="15" t="str">
        <x:f>IF(F170=G170,"Tie",IF(F170&gt;G170,D170,E170))</x:f>
        <x:v>Tie</x:v>
      </x:c>
      <x:c r="J170" s="15" t="str">
        <x:f>IF(H170=0,"Exact score tie",IF(ABS(H170)&lt;2,"Close editorial call","Model preference"))</x:f>
        <x:v>Exact score tie</x:v>
      </x:c>
      <x:c r="K170" s="15" t="str">
        <x:v>S047 S048 S049 S050 S105 S106 S107 S115</x:v>
      </x:c>
    </x:row>
    <x:row r="171" ht="64" customHeight="1">
      <x:c r="A171" s="15" t="n">
        <x:v>166</x:v>
      </x:c>
      <x:c r="B171" s="15" t="str">
        <x:v>C25</x:v>
      </x:c>
      <x:c r="C171" s="15" t="str">
        <x:v>C06</x:v>
      </x:c>
      <x:c r="D171" s="15" t="str">
        <x:v>Employment BOOST</x:v>
      </x:c>
      <x:c r="E171" s="15" t="str">
        <x:v>Great Resumes Fast</x:v>
      </x:c>
      <x:c r="F171" s="34" t="n">
        <x:f>'Score Inputs'!L30</x:f>
        <x:v>80.5</x:v>
      </x:c>
      <x:c r="G171" s="34" t="n">
        <x:f>'Score Inputs'!L11</x:f>
        <x:v>80.5</x:v>
      </x:c>
      <x:c r="H171" s="34" t="n">
        <x:f>F171-G171</x:f>
        <x:v>0</x:v>
      </x:c>
      <x:c r="I171" s="15" t="str">
        <x:f>IF(F171=G171,"Tie",IF(F171&gt;G171,D171,E171))</x:f>
        <x:v>Tie</x:v>
      </x:c>
      <x:c r="J171" s="15" t="str">
        <x:f>IF(H171=0,"Exact score tie",IF(ABS(H171)&lt;2,"Close editorial call","Model preference"))</x:f>
        <x:v>Exact score tie</x:v>
      </x:c>
      <x:c r="K171" s="15" t="str">
        <x:v>S025 S026 S027 S028 S105 S106 S107 S115 S122</x:v>
      </x:c>
    </x:row>
    <x:row r="172" ht="64" customHeight="1">
      <x:c r="A172" s="15" t="n">
        <x:v>167</x:v>
      </x:c>
      <x:c r="B172" s="15" t="str">
        <x:v>C25</x:v>
      </x:c>
      <x:c r="C172" s="15" t="str">
        <x:v>C12</x:v>
      </x:c>
      <x:c r="D172" s="15" t="str">
        <x:v>Employment BOOST</x:v>
      </x:c>
      <x:c r="E172" s="15" t="str">
        <x:v>iCareerSolutions</x:v>
      </x:c>
      <x:c r="F172" s="34" t="n">
        <x:f>'Score Inputs'!L30</x:f>
        <x:v>80.5</x:v>
      </x:c>
      <x:c r="G172" s="34" t="n">
        <x:f>'Score Inputs'!L17</x:f>
        <x:v>80.5</x:v>
      </x:c>
      <x:c r="H172" s="34" t="n">
        <x:f>F172-G172</x:f>
        <x:v>0</x:v>
      </x:c>
      <x:c r="I172" s="15" t="str">
        <x:f>IF(F172=G172,"Tie",IF(F172&gt;G172,D172,E172))</x:f>
        <x:v>Tie</x:v>
      </x:c>
      <x:c r="J172" s="15" t="str">
        <x:f>IF(H172=0,"Exact score tie",IF(ABS(H172)&lt;2,"Close editorial call","Model preference"))</x:f>
        <x:v>Exact score tie</x:v>
      </x:c>
      <x:c r="K172" s="15" t="str">
        <x:v>S055 S056 S057 S058 S059 S105 S106 S107 S115</x:v>
      </x:c>
    </x:row>
    <x:row r="173" ht="64" customHeight="1">
      <x:c r="A173" s="15" t="n">
        <x:v>168</x:v>
      </x:c>
      <x:c r="B173" s="15" t="str">
        <x:v>C25</x:v>
      </x:c>
      <x:c r="C173" s="15" t="str">
        <x:v>C01</x:v>
      </x:c>
      <x:c r="D173" s="15" t="str">
        <x:v>Employment BOOST</x:v>
      </x:c>
      <x:c r="E173" s="15" t="str">
        <x:v>Let’s Eat, Grandma</x:v>
      </x:c>
      <x:c r="F173" s="34" t="n">
        <x:f>'Score Inputs'!L30</x:f>
        <x:v>80.5</x:v>
      </x:c>
      <x:c r="G173" s="34" t="n">
        <x:f>'Score Inputs'!L6</x:f>
        <x:v>80.25</x:v>
      </x:c>
      <x:c r="H173" s="34" t="n">
        <x:f>F173-G173</x:f>
        <x:v>0.25</x:v>
      </x:c>
      <x:c r="I173" s="15" t="str">
        <x:f>IF(F173=G173,"Tie",IF(F173&gt;G173,D173,E173))</x:f>
        <x:v>Employment BOOST</x:v>
      </x:c>
      <x:c r="J173" s="15" t="str">
        <x:f>IF(H173=0,"Exact score tie",IF(ABS(H173)&lt;2,"Close editorial call","Model preference"))</x:f>
        <x:v>Close editorial call</x:v>
      </x:c>
      <x:c r="K173" s="15" t="str">
        <x:v>S001 S002 S003 S004 S105 S106 S107 S115</x:v>
      </x:c>
    </x:row>
    <x:row r="174" ht="64" customHeight="1">
      <x:c r="A174" s="15" t="n">
        <x:v>169</x:v>
      </x:c>
      <x:c r="B174" s="15" t="str">
        <x:v>C25</x:v>
      </x:c>
      <x:c r="C174" s="15" t="str">
        <x:v>C22</x:v>
      </x:c>
      <x:c r="D174" s="15" t="str">
        <x:v>Employment BOOST</x:v>
      </x:c>
      <x:c r="E174" s="15" t="str">
        <x:v>Briefcase Coach</x:v>
      </x:c>
      <x:c r="F174" s="34" t="n">
        <x:f>'Score Inputs'!L30</x:f>
        <x:v>80.5</x:v>
      </x:c>
      <x:c r="G174" s="34" t="n">
        <x:f>'Score Inputs'!L27</x:f>
        <x:v>79.25</x:v>
      </x:c>
      <x:c r="H174" s="34" t="n">
        <x:f>F174-G174</x:f>
        <x:v>1.25</x:v>
      </x:c>
      <x:c r="I174" s="15" t="str">
        <x:f>IF(F174=G174,"Tie",IF(F174&gt;G174,D174,E174))</x:f>
        <x:v>Employment BOOST</x:v>
      </x:c>
      <x:c r="J174" s="15" t="str">
        <x:f>IF(H174=0,"Exact score tie",IF(ABS(H174)&lt;2,"Close editorial call","Model preference"))</x:f>
        <x:v>Close editorial call</x:v>
      </x:c>
      <x:c r="K174" s="15" t="str">
        <x:v>S097 S098 S105 S106 S107 S109 S110 S115</x:v>
      </x:c>
    </x:row>
    <x:row r="175" ht="64" customHeight="1">
      <x:c r="A175" s="15" t="n">
        <x:v>170</x:v>
      </x:c>
      <x:c r="B175" s="15" t="str">
        <x:v>C25</x:v>
      </x:c>
      <x:c r="C175" s="15" t="str">
        <x:v>C21</x:v>
      </x:c>
      <x:c r="D175" s="15" t="str">
        <x:v>Employment BOOST</x:v>
      </x:c>
      <x:c r="E175" s="15" t="str">
        <x:v>Blue Sky Resumes</x:v>
      </x:c>
      <x:c r="F175" s="34" t="n">
        <x:f>'Score Inputs'!L30</x:f>
        <x:v>80.5</x:v>
      </x:c>
      <x:c r="G175" s="34" t="n">
        <x:f>'Score Inputs'!L26</x:f>
        <x:v>79.25</x:v>
      </x:c>
      <x:c r="H175" s="34" t="n">
        <x:f>F175-G175</x:f>
        <x:v>1.25</x:v>
      </x:c>
      <x:c r="I175" s="15" t="str">
        <x:f>IF(F175=G175,"Tie",IF(F175&gt;G175,D175,E175))</x:f>
        <x:v>Employment BOOST</x:v>
      </x:c>
      <x:c r="J175" s="15" t="str">
        <x:f>IF(H175=0,"Exact score tie",IF(ABS(H175)&lt;2,"Close editorial call","Model preference"))</x:f>
        <x:v>Close editorial call</x:v>
      </x:c>
      <x:c r="K175" s="15" t="str">
        <x:v>S095 S096 S105 S106 S107 S111 S112 S115</x:v>
      </x:c>
    </x:row>
    <x:row r="176" ht="64" customHeight="1">
      <x:c r="A176" s="15" t="n">
        <x:v>171</x:v>
      </x:c>
      <x:c r="B176" s="15" t="str">
        <x:v>C25</x:v>
      </x:c>
      <x:c r="C176" s="15" t="str">
        <x:v>C19</x:v>
      </x:c>
      <x:c r="D176" s="15" t="str">
        <x:v>Employment BOOST</x:v>
      </x:c>
      <x:c r="E176" s="15" t="str">
        <x:v>CareerProPlus / CareerPro Global</x:v>
      </x:c>
      <x:c r="F176" s="34" t="n">
        <x:f>'Score Inputs'!L30</x:f>
        <x:v>80.5</x:v>
      </x:c>
      <x:c r="G176" s="34" t="n">
        <x:f>'Score Inputs'!L24</x:f>
        <x:v>77.5</x:v>
      </x:c>
      <x:c r="H176" s="34" t="n">
        <x:f>F176-G176</x:f>
        <x:v>3</x:v>
      </x:c>
      <x:c r="I176" s="15" t="str">
        <x:f>IF(F176=G176,"Tie",IF(F176&gt;G176,D176,E176))</x:f>
        <x:v>Employment BOOST</x:v>
      </x:c>
      <x:c r="J176" s="15" t="str">
        <x:f>IF(H176=0,"Exact score tie",IF(ABS(H176)&lt;2,"Close editorial call","Model preference"))</x:f>
        <x:v>Model preference</x:v>
      </x:c>
      <x:c r="K176" s="15" t="str">
        <x:v>S089 S090 S091 S092 S105 S106 S107 S115</x:v>
      </x:c>
    </x:row>
    <x:row r="177" ht="64" customHeight="1">
      <x:c r="A177" s="15" t="n">
        <x:v>172</x:v>
      </x:c>
      <x:c r="B177" s="15" t="str">
        <x:v>C25</x:v>
      </x:c>
      <x:c r="C177" s="15" t="str">
        <x:v>C24</x:v>
      </x:c>
      <x:c r="D177" s="15" t="str">
        <x:v>Employment BOOST</x:v>
      </x:c>
      <x:c r="E177" s="15" t="str">
        <x:v>Scientech Resumes / Scientech Career Systems</x:v>
      </x:c>
      <x:c r="F177" s="34" t="n">
        <x:f>'Score Inputs'!L30</x:f>
        <x:v>80.5</x:v>
      </x:c>
      <x:c r="G177" s="34" t="n">
        <x:f>'Score Inputs'!L29</x:f>
        <x:v>77.25</x:v>
      </x:c>
      <x:c r="H177" s="34" t="n">
        <x:f>F177-G177</x:f>
        <x:v>3.25</x:v>
      </x:c>
      <x:c r="I177" s="15" t="str">
        <x:f>IF(F177=G177,"Tie",IF(F177&gt;G177,D177,E177))</x:f>
        <x:v>Employment BOOST</x:v>
      </x:c>
      <x:c r="J177" s="15" t="str">
        <x:f>IF(H177=0,"Exact score tie",IF(ABS(H177)&lt;2,"Close editorial call","Model preference"))</x:f>
        <x:v>Model preference</x:v>
      </x:c>
      <x:c r="K177" s="15" t="str">
        <x:v>S102 S104 S105 S106 S107 S113 S114 S115</x:v>
      </x:c>
    </x:row>
    <x:row r="178" ht="64" customHeight="1">
      <x:c r="A178" s="15" t="n">
        <x:v>173</x:v>
      </x:c>
      <x:c r="B178" s="15" t="str">
        <x:v>C25</x:v>
      </x:c>
      <x:c r="C178" s="15" t="str">
        <x:v>C03</x:v>
      </x:c>
      <x:c r="D178" s="15" t="str">
        <x:v>Employment BOOST</x:v>
      </x:c>
      <x:c r="E178" s="15" t="str">
        <x:v>TopStack Resume</x:v>
      </x:c>
      <x:c r="F178" s="34" t="n">
        <x:f>'Score Inputs'!L30</x:f>
        <x:v>80.5</x:v>
      </x:c>
      <x:c r="G178" s="34" t="n">
        <x:f>'Score Inputs'!L8</x:f>
        <x:v>76.75</x:v>
      </x:c>
      <x:c r="H178" s="34" t="n">
        <x:f>F178-G178</x:f>
        <x:v>3.75</x:v>
      </x:c>
      <x:c r="I178" s="15" t="str">
        <x:f>IF(F178=G178,"Tie",IF(F178&gt;G178,D178,E178))</x:f>
        <x:v>Employment BOOST</x:v>
      </x:c>
      <x:c r="J178" s="15" t="str">
        <x:f>IF(H178=0,"Exact score tie",IF(ABS(H178)&lt;2,"Close editorial call","Model preference"))</x:f>
        <x:v>Model preference</x:v>
      </x:c>
      <x:c r="K178" s="15" t="str">
        <x:v>S010 S011 S012 S013 S105 S106 S107 S108 S115</x:v>
      </x:c>
    </x:row>
    <x:row r="179" ht="64" customHeight="1">
      <x:c r="A179" s="15" t="n">
        <x:v>174</x:v>
      </x:c>
      <x:c r="B179" s="15" t="str">
        <x:v>C25</x:v>
      </x:c>
      <x:c r="C179" s="15" t="str">
        <x:v>C08</x:v>
      </x:c>
      <x:c r="D179" s="15" t="str">
        <x:v>Employment BOOST</x:v>
      </x:c>
      <x:c r="E179" s="15" t="str">
        <x:v>The Resume Place</x:v>
      </x:c>
      <x:c r="F179" s="34" t="n">
        <x:f>'Score Inputs'!L30</x:f>
        <x:v>80.5</x:v>
      </x:c>
      <x:c r="G179" s="34" t="n">
        <x:f>'Score Inputs'!L13</x:f>
        <x:v>76.75</x:v>
      </x:c>
      <x:c r="H179" s="34" t="n">
        <x:f>F179-G179</x:f>
        <x:v>3.75</x:v>
      </x:c>
      <x:c r="I179" s="15" t="str">
        <x:f>IF(F179=G179,"Tie",IF(F179&gt;G179,D179,E179))</x:f>
        <x:v>Employment BOOST</x:v>
      </x:c>
      <x:c r="J179" s="15" t="str">
        <x:f>IF(H179=0,"Exact score tie",IF(ABS(H179)&lt;2,"Close editorial call","Model preference"))</x:f>
        <x:v>Model preference</x:v>
      </x:c>
      <x:c r="K179" s="15" t="str">
        <x:v>S037 S038 S039 S040 S066 S105 S106 S107 S115</x:v>
      </x:c>
    </x:row>
    <x:row r="180" ht="64" customHeight="1">
      <x:c r="A180" s="15" t="n">
        <x:v>175</x:v>
      </x:c>
      <x:c r="B180" s="15" t="str">
        <x:v>C25</x:v>
      </x:c>
      <x:c r="C180" s="15" t="str">
        <x:v>C23</x:v>
      </x:c>
      <x:c r="D180" s="15" t="str">
        <x:v>Employment BOOST</x:v>
      </x:c>
      <x:c r="E180" s="15" t="str">
        <x:v>Klaxos</x:v>
      </x:c>
      <x:c r="F180" s="34" t="n">
        <x:f>'Score Inputs'!L30</x:f>
        <x:v>80.5</x:v>
      </x:c>
      <x:c r="G180" s="34" t="n">
        <x:f>'Score Inputs'!L28</x:f>
        <x:v>75.75</x:v>
      </x:c>
      <x:c r="H180" s="34" t="n">
        <x:f>F180-G180</x:f>
        <x:v>4.75</x:v>
      </x:c>
      <x:c r="I180" s="15" t="str">
        <x:f>IF(F180=G180,"Tie",IF(F180&gt;G180,D180,E180))</x:f>
        <x:v>Employment BOOST</x:v>
      </x:c>
      <x:c r="J180" s="15" t="str">
        <x:f>IF(H180=0,"Exact score tie",IF(ABS(H180)&lt;2,"Close editorial call","Model preference"))</x:f>
        <x:v>Model preference</x:v>
      </x:c>
      <x:c r="K180" s="15" t="str">
        <x:v>S099 S100 S101 S105 S106 S107 S115</x:v>
      </x:c>
    </x:row>
    <x:row r="181" ht="64" customHeight="1">
      <x:c r="A181" s="15" t="n">
        <x:v>176</x:v>
      </x:c>
      <x:c r="B181" s="15" t="str">
        <x:v>C25</x:v>
      </x:c>
      <x:c r="C181" s="15" t="str">
        <x:v>C04</x:v>
      </x:c>
      <x:c r="D181" s="15" t="str">
        <x:v>Employment BOOST</x:v>
      </x:c>
      <x:c r="E181" s="15" t="str">
        <x:v>Resumeble</x:v>
      </x:c>
      <x:c r="F181" s="34" t="n">
        <x:f>'Score Inputs'!L30</x:f>
        <x:v>80.5</x:v>
      </x:c>
      <x:c r="G181" s="34" t="n">
        <x:f>'Score Inputs'!L9</x:f>
        <x:v>74.5</x:v>
      </x:c>
      <x:c r="H181" s="34" t="n">
        <x:f>F181-G181</x:f>
        <x:v>6</x:v>
      </x:c>
      <x:c r="I181" s="15" t="str">
        <x:f>IF(F181=G181,"Tie",IF(F181&gt;G181,D181,E181))</x:f>
        <x:v>Employment BOOST</x:v>
      </x:c>
      <x:c r="J181" s="15" t="str">
        <x:f>IF(H181=0,"Exact score tie",IF(ABS(H181)&lt;2,"Close editorial call","Model preference"))</x:f>
        <x:v>Model preference</x:v>
      </x:c>
      <x:c r="K181" s="15" t="str">
        <x:v>S014 S015 S016 S017 S018 S019 S105 S106 S107 S115</x:v>
      </x:c>
    </x:row>
    <x:row r="182" ht="64" customHeight="1">
      <x:c r="A182" s="15" t="n">
        <x:v>177</x:v>
      </x:c>
      <x:c r="B182" s="15" t="str">
        <x:v>C25</x:v>
      </x:c>
      <x:c r="C182" s="15" t="str">
        <x:v>C16</x:v>
      </x:c>
      <x:c r="D182" s="15" t="str">
        <x:v>Employment BOOST</x:v>
      </x:c>
      <x:c r="E182" s="15" t="str">
        <x:v>Resume Target</x:v>
      </x:c>
      <x:c r="F182" s="34" t="n">
        <x:f>'Score Inputs'!L30</x:f>
        <x:v>80.5</x:v>
      </x:c>
      <x:c r="G182" s="34" t="n">
        <x:f>'Score Inputs'!L21</x:f>
        <x:v>74.5</x:v>
      </x:c>
      <x:c r="H182" s="34" t="n">
        <x:f>F182-G182</x:f>
        <x:v>6</x:v>
      </x:c>
      <x:c r="I182" s="15" t="str">
        <x:f>IF(F182=G182,"Tie",IF(F182&gt;G182,D182,E182))</x:f>
        <x:v>Employment BOOST</x:v>
      </x:c>
      <x:c r="J182" s="15" t="str">
        <x:f>IF(H182=0,"Exact score tie",IF(ABS(H182)&lt;2,"Close editorial call","Model preference"))</x:f>
        <x:v>Model preference</x:v>
      </x:c>
      <x:c r="K182" s="15" t="str">
        <x:v>S075 S076 S077 S078 S105 S106 S107 S115</x:v>
      </x:c>
    </x:row>
    <x:row r="183" ht="64" customHeight="1">
      <x:c r="A183" s="15" t="n">
        <x:v>178</x:v>
      </x:c>
      <x:c r="B183" s="15" t="str">
        <x:v>C25</x:v>
      </x:c>
      <x:c r="C183" s="15" t="str">
        <x:v>C11</x:v>
      </x:c>
      <x:c r="D183" s="15" t="str">
        <x:v>Employment BOOST</x:v>
      </x:c>
      <x:c r="E183" s="15" t="str">
        <x:v>Resume Professional Writers</x:v>
      </x:c>
      <x:c r="F183" s="34" t="n">
        <x:f>'Score Inputs'!L30</x:f>
        <x:v>80.5</x:v>
      </x:c>
      <x:c r="G183" s="34" t="n">
        <x:f>'Score Inputs'!L16</x:f>
        <x:v>65.75</x:v>
      </x:c>
      <x:c r="H183" s="34" t="n">
        <x:f>F183-G183</x:f>
        <x:v>14.75</x:v>
      </x:c>
      <x:c r="I183" s="15" t="str">
        <x:f>IF(F183=G183,"Tie",IF(F183&gt;G183,D183,E183))</x:f>
        <x:v>Employment BOOST</x:v>
      </x:c>
      <x:c r="J183" s="15" t="str">
        <x:f>IF(H183=0,"Exact score tie",IF(ABS(H183)&lt;2,"Close editorial call","Model preference"))</x:f>
        <x:v>Model preference</x:v>
      </x:c>
      <x:c r="K183" s="15" t="str">
        <x:v>S051 S052 S053 S054 S105 S106 S107 S115</x:v>
      </x:c>
    </x:row>
    <x:row r="184" ht="64" customHeight="1">
      <x:c r="A184" s="15" t="n">
        <x:v>179</x:v>
      </x:c>
      <x:c r="B184" s="15" t="str">
        <x:v>C25</x:v>
      </x:c>
      <x:c r="C184" s="15" t="str">
        <x:v>C07</x:v>
      </x:c>
      <x:c r="D184" s="15" t="str">
        <x:v>Employment BOOST</x:v>
      </x:c>
      <x:c r="E184" s="15" t="str">
        <x:v>TopResume</x:v>
      </x:c>
      <x:c r="F184" s="34" t="n">
        <x:f>'Score Inputs'!L30</x:f>
        <x:v>80.5</x:v>
      </x:c>
      <x:c r="G184" s="34" t="n">
        <x:f>'Score Inputs'!L12</x:f>
        <x:v>62.75</x:v>
      </x:c>
      <x:c r="H184" s="34" t="n">
        <x:f>F184-G184</x:f>
        <x:v>17.75</x:v>
      </x:c>
      <x:c r="I184" s="15" t="str">
        <x:f>IF(F184=G184,"Tie",IF(F184&gt;G184,D184,E184))</x:f>
        <x:v>Employment BOOST</x:v>
      </x:c>
      <x:c r="J184" s="15" t="str">
        <x:f>IF(H184=0,"Exact score tie",IF(ABS(H184)&lt;2,"Close editorial call","Model preference"))</x:f>
        <x:v>Model preference</x:v>
      </x:c>
      <x:c r="K184" s="15" t="str">
        <x:v>S029 S030 S031 S032 S034 S035 S036 S105 S106 S107 S115</x:v>
      </x:c>
    </x:row>
    <x:row r="185" ht="64" customHeight="1">
      <x:c r="A185" s="15" t="n">
        <x:v>180</x:v>
      </x:c>
      <x:c r="B185" s="15" t="str">
        <x:v>C25</x:v>
      </x:c>
      <x:c r="C185" s="15" t="str">
        <x:v>C14</x:v>
      </x:c>
      <x:c r="D185" s="15" t="str">
        <x:v>Employment BOOST</x:v>
      </x:c>
      <x:c r="E185" s="15" t="str">
        <x:v>Resume Writing Group</x:v>
      </x:c>
      <x:c r="F185" s="34" t="n">
        <x:f>'Score Inputs'!L30</x:f>
        <x:v>80.5</x:v>
      </x:c>
      <x:c r="G185" s="34" t="n">
        <x:f>'Score Inputs'!L19</x:f>
        <x:v>59.75</x:v>
      </x:c>
      <x:c r="H185" s="34" t="n">
        <x:f>F185-G185</x:f>
        <x:v>20.75</x:v>
      </x:c>
      <x:c r="I185" s="15" t="str">
        <x:f>IF(F185=G185,"Tie",IF(F185&gt;G185,D185,E185))</x:f>
        <x:v>Employment BOOST</x:v>
      </x:c>
      <x:c r="J185" s="15" t="str">
        <x:f>IF(H185=0,"Exact score tie",IF(ABS(H185)&lt;2,"Close editorial call","Model preference"))</x:f>
        <x:v>Model preference</x:v>
      </x:c>
      <x:c r="K185" s="15" t="str">
        <x:v>S067 S068 S069 S070 S105 S106 S107 S115</x:v>
      </x:c>
    </x:row>
    <x:row r="186" ht="64" customHeight="1">
      <x:c r="A186" s="15" t="n">
        <x:v>181</x:v>
      </x:c>
      <x:c r="B186" s="15" t="str">
        <x:v>C10</x:v>
      </x:c>
      <x:c r="C186" s="15" t="str">
        <x:v>C06</x:v>
      </x:c>
      <x:c r="D186" s="15" t="str">
        <x:v>JobStars USA</x:v>
      </x:c>
      <x:c r="E186" s="15" t="str">
        <x:v>Great Resumes Fast</x:v>
      </x:c>
      <x:c r="F186" s="34" t="n">
        <x:f>'Score Inputs'!L15</x:f>
        <x:v>80.5</x:v>
      </x:c>
      <x:c r="G186" s="34" t="n">
        <x:f>'Score Inputs'!L11</x:f>
        <x:v>80.5</x:v>
      </x:c>
      <x:c r="H186" s="34" t="n">
        <x:f>F186-G186</x:f>
        <x:v>0</x:v>
      </x:c>
      <x:c r="I186" s="15" t="str">
        <x:f>IF(F186=G186,"Tie",IF(F186&gt;G186,D186,E186))</x:f>
        <x:v>Tie</x:v>
      </x:c>
      <x:c r="J186" s="15" t="str">
        <x:f>IF(H186=0,"Exact score tie",IF(ABS(H186)&lt;2,"Close editorial call","Model preference"))</x:f>
        <x:v>Exact score tie</x:v>
      </x:c>
      <x:c r="K186" s="15" t="str">
        <x:v>S025 S026 S027 S028 S047 S048 S049 S050 S122</x:v>
      </x:c>
    </x:row>
    <x:row r="187" ht="64" customHeight="1">
      <x:c r="A187" s="15" t="n">
        <x:v>182</x:v>
      </x:c>
      <x:c r="B187" s="15" t="str">
        <x:v>C10</x:v>
      </x:c>
      <x:c r="C187" s="15" t="str">
        <x:v>C12</x:v>
      </x:c>
      <x:c r="D187" s="15" t="str">
        <x:v>JobStars USA</x:v>
      </x:c>
      <x:c r="E187" s="15" t="str">
        <x:v>iCareerSolutions</x:v>
      </x:c>
      <x:c r="F187" s="34" t="n">
        <x:f>'Score Inputs'!L15</x:f>
        <x:v>80.5</x:v>
      </x:c>
      <x:c r="G187" s="34" t="n">
        <x:f>'Score Inputs'!L17</x:f>
        <x:v>80.5</x:v>
      </x:c>
      <x:c r="H187" s="34" t="n">
        <x:f>F187-G187</x:f>
        <x:v>0</x:v>
      </x:c>
      <x:c r="I187" s="15" t="str">
        <x:f>IF(F187=G187,"Tie",IF(F187&gt;G187,D187,E187))</x:f>
        <x:v>Tie</x:v>
      </x:c>
      <x:c r="J187" s="15" t="str">
        <x:f>IF(H187=0,"Exact score tie",IF(ABS(H187)&lt;2,"Close editorial call","Model preference"))</x:f>
        <x:v>Exact score tie</x:v>
      </x:c>
      <x:c r="K187" s="15" t="str">
        <x:v>S047 S048 S049 S050 S055 S056 S057 S058 S059</x:v>
      </x:c>
    </x:row>
    <x:row r="188" ht="64" customHeight="1">
      <x:c r="A188" s="15" t="n">
        <x:v>183</x:v>
      </x:c>
      <x:c r="B188" s="15" t="str">
        <x:v>C10</x:v>
      </x:c>
      <x:c r="C188" s="15" t="str">
        <x:v>C01</x:v>
      </x:c>
      <x:c r="D188" s="15" t="str">
        <x:v>JobStars USA</x:v>
      </x:c>
      <x:c r="E188" s="15" t="str">
        <x:v>Let’s Eat, Grandma</x:v>
      </x:c>
      <x:c r="F188" s="34" t="n">
        <x:f>'Score Inputs'!L15</x:f>
        <x:v>80.5</x:v>
      </x:c>
      <x:c r="G188" s="34" t="n">
        <x:f>'Score Inputs'!L6</x:f>
        <x:v>80.25</x:v>
      </x:c>
      <x:c r="H188" s="34" t="n">
        <x:f>F188-G188</x:f>
        <x:v>0.25</x:v>
      </x:c>
      <x:c r="I188" s="15" t="str">
        <x:f>IF(F188=G188,"Tie",IF(F188&gt;G188,D188,E188))</x:f>
        <x:v>JobStars USA</x:v>
      </x:c>
      <x:c r="J188" s="15" t="str">
        <x:f>IF(H188=0,"Exact score tie",IF(ABS(H188)&lt;2,"Close editorial call","Model preference"))</x:f>
        <x:v>Close editorial call</x:v>
      </x:c>
      <x:c r="K188" s="15" t="str">
        <x:v>S001 S002 S003 S004 S047 S048 S049 S050</x:v>
      </x:c>
    </x:row>
    <x:row r="189" ht="64" customHeight="1">
      <x:c r="A189" s="15" t="n">
        <x:v>184</x:v>
      </x:c>
      <x:c r="B189" s="15" t="str">
        <x:v>C10</x:v>
      </x:c>
      <x:c r="C189" s="15" t="str">
        <x:v>C22</x:v>
      </x:c>
      <x:c r="D189" s="15" t="str">
        <x:v>JobStars USA</x:v>
      </x:c>
      <x:c r="E189" s="15" t="str">
        <x:v>Briefcase Coach</x:v>
      </x:c>
      <x:c r="F189" s="34" t="n">
        <x:f>'Score Inputs'!L15</x:f>
        <x:v>80.5</x:v>
      </x:c>
      <x:c r="G189" s="34" t="n">
        <x:f>'Score Inputs'!L27</x:f>
        <x:v>79.25</x:v>
      </x:c>
      <x:c r="H189" s="34" t="n">
        <x:f>F189-G189</x:f>
        <x:v>1.25</x:v>
      </x:c>
      <x:c r="I189" s="15" t="str">
        <x:f>IF(F189=G189,"Tie",IF(F189&gt;G189,D189,E189))</x:f>
        <x:v>JobStars USA</x:v>
      </x:c>
      <x:c r="J189" s="15" t="str">
        <x:f>IF(H189=0,"Exact score tie",IF(ABS(H189)&lt;2,"Close editorial call","Model preference"))</x:f>
        <x:v>Close editorial call</x:v>
      </x:c>
      <x:c r="K189" s="15" t="str">
        <x:v>S047 S048 S049 S050 S097 S098 S109 S110</x:v>
      </x:c>
    </x:row>
    <x:row r="190" ht="64" customHeight="1">
      <x:c r="A190" s="15" t="n">
        <x:v>185</x:v>
      </x:c>
      <x:c r="B190" s="15" t="str">
        <x:v>C10</x:v>
      </x:c>
      <x:c r="C190" s="15" t="str">
        <x:v>C21</x:v>
      </x:c>
      <x:c r="D190" s="15" t="str">
        <x:v>JobStars USA</x:v>
      </x:c>
      <x:c r="E190" s="15" t="str">
        <x:v>Blue Sky Resumes</x:v>
      </x:c>
      <x:c r="F190" s="34" t="n">
        <x:f>'Score Inputs'!L15</x:f>
        <x:v>80.5</x:v>
      </x:c>
      <x:c r="G190" s="34" t="n">
        <x:f>'Score Inputs'!L26</x:f>
        <x:v>79.25</x:v>
      </x:c>
      <x:c r="H190" s="34" t="n">
        <x:f>F190-G190</x:f>
        <x:v>1.25</x:v>
      </x:c>
      <x:c r="I190" s="15" t="str">
        <x:f>IF(F190=G190,"Tie",IF(F190&gt;G190,D190,E190))</x:f>
        <x:v>JobStars USA</x:v>
      </x:c>
      <x:c r="J190" s="15" t="str">
        <x:f>IF(H190=0,"Exact score tie",IF(ABS(H190)&lt;2,"Close editorial call","Model preference"))</x:f>
        <x:v>Close editorial call</x:v>
      </x:c>
      <x:c r="K190" s="15" t="str">
        <x:v>S047 S048 S049 S050 S095 S096 S111 S112</x:v>
      </x:c>
    </x:row>
    <x:row r="191" ht="64" customHeight="1">
      <x:c r="A191" s="15" t="n">
        <x:v>186</x:v>
      </x:c>
      <x:c r="B191" s="15" t="str">
        <x:v>C10</x:v>
      </x:c>
      <x:c r="C191" s="15" t="str">
        <x:v>C19</x:v>
      </x:c>
      <x:c r="D191" s="15" t="str">
        <x:v>JobStars USA</x:v>
      </x:c>
      <x:c r="E191" s="15" t="str">
        <x:v>CareerProPlus / CareerPro Global</x:v>
      </x:c>
      <x:c r="F191" s="34" t="n">
        <x:f>'Score Inputs'!L15</x:f>
        <x:v>80.5</x:v>
      </x:c>
      <x:c r="G191" s="34" t="n">
        <x:f>'Score Inputs'!L24</x:f>
        <x:v>77.5</x:v>
      </x:c>
      <x:c r="H191" s="34" t="n">
        <x:f>F191-G191</x:f>
        <x:v>3</x:v>
      </x:c>
      <x:c r="I191" s="15" t="str">
        <x:f>IF(F191=G191,"Tie",IF(F191&gt;G191,D191,E191))</x:f>
        <x:v>JobStars USA</x:v>
      </x:c>
      <x:c r="J191" s="15" t="str">
        <x:f>IF(H191=0,"Exact score tie",IF(ABS(H191)&lt;2,"Close editorial call","Model preference"))</x:f>
        <x:v>Model preference</x:v>
      </x:c>
      <x:c r="K191" s="15" t="str">
        <x:v>S047 S048 S049 S050 S089 S090 S091 S092</x:v>
      </x:c>
    </x:row>
    <x:row r="192" ht="64" customHeight="1">
      <x:c r="A192" s="15" t="n">
        <x:v>187</x:v>
      </x:c>
      <x:c r="B192" s="15" t="str">
        <x:v>C10</x:v>
      </x:c>
      <x:c r="C192" s="15" t="str">
        <x:v>C24</x:v>
      </x:c>
      <x:c r="D192" s="15" t="str">
        <x:v>JobStars USA</x:v>
      </x:c>
      <x:c r="E192" s="15" t="str">
        <x:v>Scientech Resumes / Scientech Career Systems</x:v>
      </x:c>
      <x:c r="F192" s="34" t="n">
        <x:f>'Score Inputs'!L15</x:f>
        <x:v>80.5</x:v>
      </x:c>
      <x:c r="G192" s="34" t="n">
        <x:f>'Score Inputs'!L29</x:f>
        <x:v>77.25</x:v>
      </x:c>
      <x:c r="H192" s="34" t="n">
        <x:f>F192-G192</x:f>
        <x:v>3.25</x:v>
      </x:c>
      <x:c r="I192" s="15" t="str">
        <x:f>IF(F192=G192,"Tie",IF(F192&gt;G192,D192,E192))</x:f>
        <x:v>JobStars USA</x:v>
      </x:c>
      <x:c r="J192" s="15" t="str">
        <x:f>IF(H192=0,"Exact score tie",IF(ABS(H192)&lt;2,"Close editorial call","Model preference"))</x:f>
        <x:v>Model preference</x:v>
      </x:c>
      <x:c r="K192" s="15" t="str">
        <x:v>S047 S048 S049 S050 S102 S104 S113 S114</x:v>
      </x:c>
    </x:row>
    <x:row r="193" ht="64" customHeight="1">
      <x:c r="A193" s="15" t="n">
        <x:v>188</x:v>
      </x:c>
      <x:c r="B193" s="15" t="str">
        <x:v>C10</x:v>
      </x:c>
      <x:c r="C193" s="15" t="str">
        <x:v>C03</x:v>
      </x:c>
      <x:c r="D193" s="15" t="str">
        <x:v>JobStars USA</x:v>
      </x:c>
      <x:c r="E193" s="15" t="str">
        <x:v>TopStack Resume</x:v>
      </x:c>
      <x:c r="F193" s="34" t="n">
        <x:f>'Score Inputs'!L15</x:f>
        <x:v>80.5</x:v>
      </x:c>
      <x:c r="G193" s="34" t="n">
        <x:f>'Score Inputs'!L8</x:f>
        <x:v>76.75</x:v>
      </x:c>
      <x:c r="H193" s="34" t="n">
        <x:f>F193-G193</x:f>
        <x:v>3.75</x:v>
      </x:c>
      <x:c r="I193" s="15" t="str">
        <x:f>IF(F193=G193,"Tie",IF(F193&gt;G193,D193,E193))</x:f>
        <x:v>JobStars USA</x:v>
      </x:c>
      <x:c r="J193" s="15" t="str">
        <x:f>IF(H193=0,"Exact score tie",IF(ABS(H193)&lt;2,"Close editorial call","Model preference"))</x:f>
        <x:v>Model preference</x:v>
      </x:c>
      <x:c r="K193" s="15" t="str">
        <x:v>S010 S011 S012 S013 S047 S048 S049 S050 S108</x:v>
      </x:c>
    </x:row>
    <x:row r="194" ht="64" customHeight="1">
      <x:c r="A194" s="15" t="n">
        <x:v>189</x:v>
      </x:c>
      <x:c r="B194" s="15" t="str">
        <x:v>C10</x:v>
      </x:c>
      <x:c r="C194" s="15" t="str">
        <x:v>C08</x:v>
      </x:c>
      <x:c r="D194" s="15" t="str">
        <x:v>JobStars USA</x:v>
      </x:c>
      <x:c r="E194" s="15" t="str">
        <x:v>The Resume Place</x:v>
      </x:c>
      <x:c r="F194" s="34" t="n">
        <x:f>'Score Inputs'!L15</x:f>
        <x:v>80.5</x:v>
      </x:c>
      <x:c r="G194" s="34" t="n">
        <x:f>'Score Inputs'!L13</x:f>
        <x:v>76.75</x:v>
      </x:c>
      <x:c r="H194" s="34" t="n">
        <x:f>F194-G194</x:f>
        <x:v>3.75</x:v>
      </x:c>
      <x:c r="I194" s="15" t="str">
        <x:f>IF(F194=G194,"Tie",IF(F194&gt;G194,D194,E194))</x:f>
        <x:v>JobStars USA</x:v>
      </x:c>
      <x:c r="J194" s="15" t="str">
        <x:f>IF(H194=0,"Exact score tie",IF(ABS(H194)&lt;2,"Close editorial call","Model preference"))</x:f>
        <x:v>Model preference</x:v>
      </x:c>
      <x:c r="K194" s="15" t="str">
        <x:v>S037 S038 S039 S040 S047 S048 S049 S050 S066</x:v>
      </x:c>
    </x:row>
    <x:row r="195" ht="64" customHeight="1">
      <x:c r="A195" s="15" t="n">
        <x:v>190</x:v>
      </x:c>
      <x:c r="B195" s="15" t="str">
        <x:v>C10</x:v>
      </x:c>
      <x:c r="C195" s="15" t="str">
        <x:v>C23</x:v>
      </x:c>
      <x:c r="D195" s="15" t="str">
        <x:v>JobStars USA</x:v>
      </x:c>
      <x:c r="E195" s="15" t="str">
        <x:v>Klaxos</x:v>
      </x:c>
      <x:c r="F195" s="34" t="n">
        <x:f>'Score Inputs'!L15</x:f>
        <x:v>80.5</x:v>
      </x:c>
      <x:c r="G195" s="34" t="n">
        <x:f>'Score Inputs'!L28</x:f>
        <x:v>75.75</x:v>
      </x:c>
      <x:c r="H195" s="34" t="n">
        <x:f>F195-G195</x:f>
        <x:v>4.75</x:v>
      </x:c>
      <x:c r="I195" s="15" t="str">
        <x:f>IF(F195=G195,"Tie",IF(F195&gt;G195,D195,E195))</x:f>
        <x:v>JobStars USA</x:v>
      </x:c>
      <x:c r="J195" s="15" t="str">
        <x:f>IF(H195=0,"Exact score tie",IF(ABS(H195)&lt;2,"Close editorial call","Model preference"))</x:f>
        <x:v>Model preference</x:v>
      </x:c>
      <x:c r="K195" s="15" t="str">
        <x:v>S047 S048 S049 S050 S099 S100 S101</x:v>
      </x:c>
    </x:row>
    <x:row r="196" ht="64" customHeight="1">
      <x:c r="A196" s="15" t="n">
        <x:v>191</x:v>
      </x:c>
      <x:c r="B196" s="15" t="str">
        <x:v>C10</x:v>
      </x:c>
      <x:c r="C196" s="15" t="str">
        <x:v>C04</x:v>
      </x:c>
      <x:c r="D196" s="15" t="str">
        <x:v>JobStars USA</x:v>
      </x:c>
      <x:c r="E196" s="15" t="str">
        <x:v>Resumeble</x:v>
      </x:c>
      <x:c r="F196" s="34" t="n">
        <x:f>'Score Inputs'!L15</x:f>
        <x:v>80.5</x:v>
      </x:c>
      <x:c r="G196" s="34" t="n">
        <x:f>'Score Inputs'!L9</x:f>
        <x:v>74.5</x:v>
      </x:c>
      <x:c r="H196" s="34" t="n">
        <x:f>F196-G196</x:f>
        <x:v>6</x:v>
      </x:c>
      <x:c r="I196" s="15" t="str">
        <x:f>IF(F196=G196,"Tie",IF(F196&gt;G196,D196,E196))</x:f>
        <x:v>JobStars USA</x:v>
      </x:c>
      <x:c r="J196" s="15" t="str">
        <x:f>IF(H196=0,"Exact score tie",IF(ABS(H196)&lt;2,"Close editorial call","Model preference"))</x:f>
        <x:v>Model preference</x:v>
      </x:c>
      <x:c r="K196" s="15" t="str">
        <x:v>S014 S015 S016 S017 S018 S019 S047 S048 S049 S050</x:v>
      </x:c>
    </x:row>
    <x:row r="197" ht="64" customHeight="1">
      <x:c r="A197" s="15" t="n">
        <x:v>192</x:v>
      </x:c>
      <x:c r="B197" s="15" t="str">
        <x:v>C10</x:v>
      </x:c>
      <x:c r="C197" s="15" t="str">
        <x:v>C16</x:v>
      </x:c>
      <x:c r="D197" s="15" t="str">
        <x:v>JobStars USA</x:v>
      </x:c>
      <x:c r="E197" s="15" t="str">
        <x:v>Resume Target</x:v>
      </x:c>
      <x:c r="F197" s="34" t="n">
        <x:f>'Score Inputs'!L15</x:f>
        <x:v>80.5</x:v>
      </x:c>
      <x:c r="G197" s="34" t="n">
        <x:f>'Score Inputs'!L21</x:f>
        <x:v>74.5</x:v>
      </x:c>
      <x:c r="H197" s="34" t="n">
        <x:f>F197-G197</x:f>
        <x:v>6</x:v>
      </x:c>
      <x:c r="I197" s="15" t="str">
        <x:f>IF(F197=G197,"Tie",IF(F197&gt;G197,D197,E197))</x:f>
        <x:v>JobStars USA</x:v>
      </x:c>
      <x:c r="J197" s="15" t="str">
        <x:f>IF(H197=0,"Exact score tie",IF(ABS(H197)&lt;2,"Close editorial call","Model preference"))</x:f>
        <x:v>Model preference</x:v>
      </x:c>
      <x:c r="K197" s="15" t="str">
        <x:v>S047 S048 S049 S050 S075 S076 S077 S078</x:v>
      </x:c>
    </x:row>
    <x:row r="198" ht="64" customHeight="1">
      <x:c r="A198" s="15" t="n">
        <x:v>193</x:v>
      </x:c>
      <x:c r="B198" s="15" t="str">
        <x:v>C10</x:v>
      </x:c>
      <x:c r="C198" s="15" t="str">
        <x:v>C11</x:v>
      </x:c>
      <x:c r="D198" s="15" t="str">
        <x:v>JobStars USA</x:v>
      </x:c>
      <x:c r="E198" s="15" t="str">
        <x:v>Resume Professional Writers</x:v>
      </x:c>
      <x:c r="F198" s="34" t="n">
        <x:f>'Score Inputs'!L15</x:f>
        <x:v>80.5</x:v>
      </x:c>
      <x:c r="G198" s="34" t="n">
        <x:f>'Score Inputs'!L16</x:f>
        <x:v>65.75</x:v>
      </x:c>
      <x:c r="H198" s="34" t="n">
        <x:f>F198-G198</x:f>
        <x:v>14.75</x:v>
      </x:c>
      <x:c r="I198" s="15" t="str">
        <x:f>IF(F198=G198,"Tie",IF(F198&gt;G198,D198,E198))</x:f>
        <x:v>JobStars USA</x:v>
      </x:c>
      <x:c r="J198" s="15" t="str">
        <x:f>IF(H198=0,"Exact score tie",IF(ABS(H198)&lt;2,"Close editorial call","Model preference"))</x:f>
        <x:v>Model preference</x:v>
      </x:c>
      <x:c r="K198" s="15" t="str">
        <x:v>S047 S048 S049 S050 S051 S052 S053 S054</x:v>
      </x:c>
    </x:row>
    <x:row r="199" ht="64" customHeight="1">
      <x:c r="A199" s="15" t="n">
        <x:v>194</x:v>
      </x:c>
      <x:c r="B199" s="15" t="str">
        <x:v>C10</x:v>
      </x:c>
      <x:c r="C199" s="15" t="str">
        <x:v>C07</x:v>
      </x:c>
      <x:c r="D199" s="15" t="str">
        <x:v>JobStars USA</x:v>
      </x:c>
      <x:c r="E199" s="15" t="str">
        <x:v>TopResume</x:v>
      </x:c>
      <x:c r="F199" s="34" t="n">
        <x:f>'Score Inputs'!L15</x:f>
        <x:v>80.5</x:v>
      </x:c>
      <x:c r="G199" s="34" t="n">
        <x:f>'Score Inputs'!L12</x:f>
        <x:v>62.75</x:v>
      </x:c>
      <x:c r="H199" s="34" t="n">
        <x:f>F199-G199</x:f>
        <x:v>17.75</x:v>
      </x:c>
      <x:c r="I199" s="15" t="str">
        <x:f>IF(F199=G199,"Tie",IF(F199&gt;G199,D199,E199))</x:f>
        <x:v>JobStars USA</x:v>
      </x:c>
      <x:c r="J199" s="15" t="str">
        <x:f>IF(H199=0,"Exact score tie",IF(ABS(H199)&lt;2,"Close editorial call","Model preference"))</x:f>
        <x:v>Model preference</x:v>
      </x:c>
      <x:c r="K199" s="15" t="str">
        <x:v>S029 S030 S031 S032 S034 S035 S036 S047 S048 S049 S050</x:v>
      </x:c>
    </x:row>
    <x:row r="200" ht="64" customHeight="1">
      <x:c r="A200" s="15" t="n">
        <x:v>195</x:v>
      </x:c>
      <x:c r="B200" s="15" t="str">
        <x:v>C10</x:v>
      </x:c>
      <x:c r="C200" s="15" t="str">
        <x:v>C14</x:v>
      </x:c>
      <x:c r="D200" s="15" t="str">
        <x:v>JobStars USA</x:v>
      </x:c>
      <x:c r="E200" s="15" t="str">
        <x:v>Resume Writing Group</x:v>
      </x:c>
      <x:c r="F200" s="34" t="n">
        <x:f>'Score Inputs'!L15</x:f>
        <x:v>80.5</x:v>
      </x:c>
      <x:c r="G200" s="34" t="n">
        <x:f>'Score Inputs'!L19</x:f>
        <x:v>59.75</x:v>
      </x:c>
      <x:c r="H200" s="34" t="n">
        <x:f>F200-G200</x:f>
        <x:v>20.75</x:v>
      </x:c>
      <x:c r="I200" s="15" t="str">
        <x:f>IF(F200=G200,"Tie",IF(F200&gt;G200,D200,E200))</x:f>
        <x:v>JobStars USA</x:v>
      </x:c>
      <x:c r="J200" s="15" t="str">
        <x:f>IF(H200=0,"Exact score tie",IF(ABS(H200)&lt;2,"Close editorial call","Model preference"))</x:f>
        <x:v>Model preference</x:v>
      </x:c>
      <x:c r="K200" s="15" t="str">
        <x:v>S047 S048 S049 S050 S067 S068 S069 S070</x:v>
      </x:c>
    </x:row>
    <x:row r="201" ht="64" customHeight="1">
      <x:c r="A201" s="15" t="n">
        <x:v>196</x:v>
      </x:c>
      <x:c r="B201" s="15" t="str">
        <x:v>C06</x:v>
      </x:c>
      <x:c r="C201" s="15" t="str">
        <x:v>C12</x:v>
      </x:c>
      <x:c r="D201" s="15" t="str">
        <x:v>Great Resumes Fast</x:v>
      </x:c>
      <x:c r="E201" s="15" t="str">
        <x:v>iCareerSolutions</x:v>
      </x:c>
      <x:c r="F201" s="34" t="n">
        <x:f>'Score Inputs'!L11</x:f>
        <x:v>80.5</x:v>
      </x:c>
      <x:c r="G201" s="34" t="n">
        <x:f>'Score Inputs'!L17</x:f>
        <x:v>80.5</x:v>
      </x:c>
      <x:c r="H201" s="34" t="n">
        <x:f>F201-G201</x:f>
        <x:v>0</x:v>
      </x:c>
      <x:c r="I201" s="15" t="str">
        <x:f>IF(F201=G201,"Tie",IF(F201&gt;G201,D201,E201))</x:f>
        <x:v>Tie</x:v>
      </x:c>
      <x:c r="J201" s="15" t="str">
        <x:f>IF(H201=0,"Exact score tie",IF(ABS(H201)&lt;2,"Close editorial call","Model preference"))</x:f>
        <x:v>Exact score tie</x:v>
      </x:c>
      <x:c r="K201" s="15" t="str">
        <x:v>S025 S026 S027 S028 S055 S056 S057 S058 S059 S122</x:v>
      </x:c>
    </x:row>
    <x:row r="202" ht="64" customHeight="1">
      <x:c r="A202" s="15" t="n">
        <x:v>197</x:v>
      </x:c>
      <x:c r="B202" s="15" t="str">
        <x:v>C06</x:v>
      </x:c>
      <x:c r="C202" s="15" t="str">
        <x:v>C01</x:v>
      </x:c>
      <x:c r="D202" s="15" t="str">
        <x:v>Great Resumes Fast</x:v>
      </x:c>
      <x:c r="E202" s="15" t="str">
        <x:v>Let’s Eat, Grandma</x:v>
      </x:c>
      <x:c r="F202" s="34" t="n">
        <x:f>'Score Inputs'!L11</x:f>
        <x:v>80.5</x:v>
      </x:c>
      <x:c r="G202" s="34" t="n">
        <x:f>'Score Inputs'!L6</x:f>
        <x:v>80.25</x:v>
      </x:c>
      <x:c r="H202" s="34" t="n">
        <x:f>F202-G202</x:f>
        <x:v>0.25</x:v>
      </x:c>
      <x:c r="I202" s="15" t="str">
        <x:f>IF(F202=G202,"Tie",IF(F202&gt;G202,D202,E202))</x:f>
        <x:v>Great Resumes Fast</x:v>
      </x:c>
      <x:c r="J202" s="15" t="str">
        <x:f>IF(H202=0,"Exact score tie",IF(ABS(H202)&lt;2,"Close editorial call","Model preference"))</x:f>
        <x:v>Close editorial call</x:v>
      </x:c>
      <x:c r="K202" s="15" t="str">
        <x:v>S001 S002 S003 S004 S025 S026 S027 S028 S122</x:v>
      </x:c>
    </x:row>
    <x:row r="203" ht="64" customHeight="1">
      <x:c r="A203" s="15" t="n">
        <x:v>198</x:v>
      </x:c>
      <x:c r="B203" s="15" t="str">
        <x:v>C06</x:v>
      </x:c>
      <x:c r="C203" s="15" t="str">
        <x:v>C22</x:v>
      </x:c>
      <x:c r="D203" s="15" t="str">
        <x:v>Great Resumes Fast</x:v>
      </x:c>
      <x:c r="E203" s="15" t="str">
        <x:v>Briefcase Coach</x:v>
      </x:c>
      <x:c r="F203" s="34" t="n">
        <x:f>'Score Inputs'!L11</x:f>
        <x:v>80.5</x:v>
      </x:c>
      <x:c r="G203" s="34" t="n">
        <x:f>'Score Inputs'!L27</x:f>
        <x:v>79.25</x:v>
      </x:c>
      <x:c r="H203" s="34" t="n">
        <x:f>F203-G203</x:f>
        <x:v>1.25</x:v>
      </x:c>
      <x:c r="I203" s="15" t="str">
        <x:f>IF(F203=G203,"Tie",IF(F203&gt;G203,D203,E203))</x:f>
        <x:v>Great Resumes Fast</x:v>
      </x:c>
      <x:c r="J203" s="15" t="str">
        <x:f>IF(H203=0,"Exact score tie",IF(ABS(H203)&lt;2,"Close editorial call","Model preference"))</x:f>
        <x:v>Close editorial call</x:v>
      </x:c>
      <x:c r="K203" s="15" t="str">
        <x:v>S025 S026 S027 S028 S097 S098 S109 S110 S122</x:v>
      </x:c>
    </x:row>
    <x:row r="204" ht="64" customHeight="1">
      <x:c r="A204" s="15" t="n">
        <x:v>199</x:v>
      </x:c>
      <x:c r="B204" s="15" t="str">
        <x:v>C06</x:v>
      </x:c>
      <x:c r="C204" s="15" t="str">
        <x:v>C21</x:v>
      </x:c>
      <x:c r="D204" s="15" t="str">
        <x:v>Great Resumes Fast</x:v>
      </x:c>
      <x:c r="E204" s="15" t="str">
        <x:v>Blue Sky Resumes</x:v>
      </x:c>
      <x:c r="F204" s="34" t="n">
        <x:f>'Score Inputs'!L11</x:f>
        <x:v>80.5</x:v>
      </x:c>
      <x:c r="G204" s="34" t="n">
        <x:f>'Score Inputs'!L26</x:f>
        <x:v>79.25</x:v>
      </x:c>
      <x:c r="H204" s="34" t="n">
        <x:f>F204-G204</x:f>
        <x:v>1.25</x:v>
      </x:c>
      <x:c r="I204" s="15" t="str">
        <x:f>IF(F204=G204,"Tie",IF(F204&gt;G204,D204,E204))</x:f>
        <x:v>Great Resumes Fast</x:v>
      </x:c>
      <x:c r="J204" s="15" t="str">
        <x:f>IF(H204=0,"Exact score tie",IF(ABS(H204)&lt;2,"Close editorial call","Model preference"))</x:f>
        <x:v>Close editorial call</x:v>
      </x:c>
      <x:c r="K204" s="15" t="str">
        <x:v>S025 S026 S027 S028 S095 S096 S111 S112 S122</x:v>
      </x:c>
    </x:row>
    <x:row r="205" ht="64" customHeight="1">
      <x:c r="A205" s="15" t="n">
        <x:v>200</x:v>
      </x:c>
      <x:c r="B205" s="15" t="str">
        <x:v>C06</x:v>
      </x:c>
      <x:c r="C205" s="15" t="str">
        <x:v>C19</x:v>
      </x:c>
      <x:c r="D205" s="15" t="str">
        <x:v>Great Resumes Fast</x:v>
      </x:c>
      <x:c r="E205" s="15" t="str">
        <x:v>CareerProPlus / CareerPro Global</x:v>
      </x:c>
      <x:c r="F205" s="34" t="n">
        <x:f>'Score Inputs'!L11</x:f>
        <x:v>80.5</x:v>
      </x:c>
      <x:c r="G205" s="34" t="n">
        <x:f>'Score Inputs'!L24</x:f>
        <x:v>77.5</x:v>
      </x:c>
      <x:c r="H205" s="34" t="n">
        <x:f>F205-G205</x:f>
        <x:v>3</x:v>
      </x:c>
      <x:c r="I205" s="15" t="str">
        <x:f>IF(F205=G205,"Tie",IF(F205&gt;G205,D205,E205))</x:f>
        <x:v>Great Resumes Fast</x:v>
      </x:c>
      <x:c r="J205" s="15" t="str">
        <x:f>IF(H205=0,"Exact score tie",IF(ABS(H205)&lt;2,"Close editorial call","Model preference"))</x:f>
        <x:v>Model preference</x:v>
      </x:c>
      <x:c r="K205" s="15" t="str">
        <x:v>S025 S026 S027 S028 S089 S090 S091 S092 S122</x:v>
      </x:c>
    </x:row>
    <x:row r="206" ht="64" customHeight="1">
      <x:c r="A206" s="15" t="n">
        <x:v>201</x:v>
      </x:c>
      <x:c r="B206" s="15" t="str">
        <x:v>C06</x:v>
      </x:c>
      <x:c r="C206" s="15" t="str">
        <x:v>C24</x:v>
      </x:c>
      <x:c r="D206" s="15" t="str">
        <x:v>Great Resumes Fast</x:v>
      </x:c>
      <x:c r="E206" s="15" t="str">
        <x:v>Scientech Resumes / Scientech Career Systems</x:v>
      </x:c>
      <x:c r="F206" s="34" t="n">
        <x:f>'Score Inputs'!L11</x:f>
        <x:v>80.5</x:v>
      </x:c>
      <x:c r="G206" s="34" t="n">
        <x:f>'Score Inputs'!L29</x:f>
        <x:v>77.25</x:v>
      </x:c>
      <x:c r="H206" s="34" t="n">
        <x:f>F206-G206</x:f>
        <x:v>3.25</x:v>
      </x:c>
      <x:c r="I206" s="15" t="str">
        <x:f>IF(F206=G206,"Tie",IF(F206&gt;G206,D206,E206))</x:f>
        <x:v>Great Resumes Fast</x:v>
      </x:c>
      <x:c r="J206" s="15" t="str">
        <x:f>IF(H206=0,"Exact score tie",IF(ABS(H206)&lt;2,"Close editorial call","Model preference"))</x:f>
        <x:v>Model preference</x:v>
      </x:c>
      <x:c r="K206" s="15" t="str">
        <x:v>S025 S026 S027 S028 S102 S104 S113 S114 S122</x:v>
      </x:c>
    </x:row>
    <x:row r="207" ht="64" customHeight="1">
      <x:c r="A207" s="15" t="n">
        <x:v>202</x:v>
      </x:c>
      <x:c r="B207" s="15" t="str">
        <x:v>C06</x:v>
      </x:c>
      <x:c r="C207" s="15" t="str">
        <x:v>C03</x:v>
      </x:c>
      <x:c r="D207" s="15" t="str">
        <x:v>Great Resumes Fast</x:v>
      </x:c>
      <x:c r="E207" s="15" t="str">
        <x:v>TopStack Resume</x:v>
      </x:c>
      <x:c r="F207" s="34" t="n">
        <x:f>'Score Inputs'!L11</x:f>
        <x:v>80.5</x:v>
      </x:c>
      <x:c r="G207" s="34" t="n">
        <x:f>'Score Inputs'!L8</x:f>
        <x:v>76.75</x:v>
      </x:c>
      <x:c r="H207" s="34" t="n">
        <x:f>F207-G207</x:f>
        <x:v>3.75</x:v>
      </x:c>
      <x:c r="I207" s="15" t="str">
        <x:f>IF(F207=G207,"Tie",IF(F207&gt;G207,D207,E207))</x:f>
        <x:v>Great Resumes Fast</x:v>
      </x:c>
      <x:c r="J207" s="15" t="str">
        <x:f>IF(H207=0,"Exact score tie",IF(ABS(H207)&lt;2,"Close editorial call","Model preference"))</x:f>
        <x:v>Model preference</x:v>
      </x:c>
      <x:c r="K207" s="15" t="str">
        <x:v>S010 S011 S012 S013 S025 S026 S027 S028 S108 S122</x:v>
      </x:c>
    </x:row>
    <x:row r="208" ht="64" customHeight="1">
      <x:c r="A208" s="15" t="n">
        <x:v>203</x:v>
      </x:c>
      <x:c r="B208" s="15" t="str">
        <x:v>C06</x:v>
      </x:c>
      <x:c r="C208" s="15" t="str">
        <x:v>C08</x:v>
      </x:c>
      <x:c r="D208" s="15" t="str">
        <x:v>Great Resumes Fast</x:v>
      </x:c>
      <x:c r="E208" s="15" t="str">
        <x:v>The Resume Place</x:v>
      </x:c>
      <x:c r="F208" s="34" t="n">
        <x:f>'Score Inputs'!L11</x:f>
        <x:v>80.5</x:v>
      </x:c>
      <x:c r="G208" s="34" t="n">
        <x:f>'Score Inputs'!L13</x:f>
        <x:v>76.75</x:v>
      </x:c>
      <x:c r="H208" s="34" t="n">
        <x:f>F208-G208</x:f>
        <x:v>3.75</x:v>
      </x:c>
      <x:c r="I208" s="15" t="str">
        <x:f>IF(F208=G208,"Tie",IF(F208&gt;G208,D208,E208))</x:f>
        <x:v>Great Resumes Fast</x:v>
      </x:c>
      <x:c r="J208" s="15" t="str">
        <x:f>IF(H208=0,"Exact score tie",IF(ABS(H208)&lt;2,"Close editorial call","Model preference"))</x:f>
        <x:v>Model preference</x:v>
      </x:c>
      <x:c r="K208" s="15" t="str">
        <x:v>S025 S026 S027 S028 S037 S038 S039 S040 S066 S122</x:v>
      </x:c>
    </x:row>
    <x:row r="209" ht="64" customHeight="1">
      <x:c r="A209" s="15" t="n">
        <x:v>204</x:v>
      </x:c>
      <x:c r="B209" s="15" t="str">
        <x:v>C06</x:v>
      </x:c>
      <x:c r="C209" s="15" t="str">
        <x:v>C23</x:v>
      </x:c>
      <x:c r="D209" s="15" t="str">
        <x:v>Great Resumes Fast</x:v>
      </x:c>
      <x:c r="E209" s="15" t="str">
        <x:v>Klaxos</x:v>
      </x:c>
      <x:c r="F209" s="34" t="n">
        <x:f>'Score Inputs'!L11</x:f>
        <x:v>80.5</x:v>
      </x:c>
      <x:c r="G209" s="34" t="n">
        <x:f>'Score Inputs'!L28</x:f>
        <x:v>75.75</x:v>
      </x:c>
      <x:c r="H209" s="34" t="n">
        <x:f>F209-G209</x:f>
        <x:v>4.75</x:v>
      </x:c>
      <x:c r="I209" s="15" t="str">
        <x:f>IF(F209=G209,"Tie",IF(F209&gt;G209,D209,E209))</x:f>
        <x:v>Great Resumes Fast</x:v>
      </x:c>
      <x:c r="J209" s="15" t="str">
        <x:f>IF(H209=0,"Exact score tie",IF(ABS(H209)&lt;2,"Close editorial call","Model preference"))</x:f>
        <x:v>Model preference</x:v>
      </x:c>
      <x:c r="K209" s="15" t="str">
        <x:v>S025 S026 S027 S028 S099 S100 S101 S122</x:v>
      </x:c>
    </x:row>
    <x:row r="210" ht="64" customHeight="1">
      <x:c r="A210" s="15" t="n">
        <x:v>205</x:v>
      </x:c>
      <x:c r="B210" s="15" t="str">
        <x:v>C06</x:v>
      </x:c>
      <x:c r="C210" s="15" t="str">
        <x:v>C04</x:v>
      </x:c>
      <x:c r="D210" s="15" t="str">
        <x:v>Great Resumes Fast</x:v>
      </x:c>
      <x:c r="E210" s="15" t="str">
        <x:v>Resumeble</x:v>
      </x:c>
      <x:c r="F210" s="34" t="n">
        <x:f>'Score Inputs'!L11</x:f>
        <x:v>80.5</x:v>
      </x:c>
      <x:c r="G210" s="34" t="n">
        <x:f>'Score Inputs'!L9</x:f>
        <x:v>74.5</x:v>
      </x:c>
      <x:c r="H210" s="34" t="n">
        <x:f>F210-G210</x:f>
        <x:v>6</x:v>
      </x:c>
      <x:c r="I210" s="15" t="str">
        <x:f>IF(F210=G210,"Tie",IF(F210&gt;G210,D210,E210))</x:f>
        <x:v>Great Resumes Fast</x:v>
      </x:c>
      <x:c r="J210" s="15" t="str">
        <x:f>IF(H210=0,"Exact score tie",IF(ABS(H210)&lt;2,"Close editorial call","Model preference"))</x:f>
        <x:v>Model preference</x:v>
      </x:c>
      <x:c r="K210" s="15" t="str">
        <x:v>S014 S015 S016 S017 S018 S019 S025 S026 S027 S028 S122</x:v>
      </x:c>
    </x:row>
    <x:row r="211" ht="64" customHeight="1">
      <x:c r="A211" s="15" t="n">
        <x:v>206</x:v>
      </x:c>
      <x:c r="B211" s="15" t="str">
        <x:v>C06</x:v>
      </x:c>
      <x:c r="C211" s="15" t="str">
        <x:v>C16</x:v>
      </x:c>
      <x:c r="D211" s="15" t="str">
        <x:v>Great Resumes Fast</x:v>
      </x:c>
      <x:c r="E211" s="15" t="str">
        <x:v>Resume Target</x:v>
      </x:c>
      <x:c r="F211" s="34" t="n">
        <x:f>'Score Inputs'!L11</x:f>
        <x:v>80.5</x:v>
      </x:c>
      <x:c r="G211" s="34" t="n">
        <x:f>'Score Inputs'!L21</x:f>
        <x:v>74.5</x:v>
      </x:c>
      <x:c r="H211" s="34" t="n">
        <x:f>F211-G211</x:f>
        <x:v>6</x:v>
      </x:c>
      <x:c r="I211" s="15" t="str">
        <x:f>IF(F211=G211,"Tie",IF(F211&gt;G211,D211,E211))</x:f>
        <x:v>Great Resumes Fast</x:v>
      </x:c>
      <x:c r="J211" s="15" t="str">
        <x:f>IF(H211=0,"Exact score tie",IF(ABS(H211)&lt;2,"Close editorial call","Model preference"))</x:f>
        <x:v>Model preference</x:v>
      </x:c>
      <x:c r="K211" s="15" t="str">
        <x:v>S025 S026 S027 S028 S075 S076 S077 S078 S122</x:v>
      </x:c>
    </x:row>
    <x:row r="212" ht="64" customHeight="1">
      <x:c r="A212" s="15" t="n">
        <x:v>207</x:v>
      </x:c>
      <x:c r="B212" s="15" t="str">
        <x:v>C06</x:v>
      </x:c>
      <x:c r="C212" s="15" t="str">
        <x:v>C11</x:v>
      </x:c>
      <x:c r="D212" s="15" t="str">
        <x:v>Great Resumes Fast</x:v>
      </x:c>
      <x:c r="E212" s="15" t="str">
        <x:v>Resume Professional Writers</x:v>
      </x:c>
      <x:c r="F212" s="34" t="n">
        <x:f>'Score Inputs'!L11</x:f>
        <x:v>80.5</x:v>
      </x:c>
      <x:c r="G212" s="34" t="n">
        <x:f>'Score Inputs'!L16</x:f>
        <x:v>65.75</x:v>
      </x:c>
      <x:c r="H212" s="34" t="n">
        <x:f>F212-G212</x:f>
        <x:v>14.75</x:v>
      </x:c>
      <x:c r="I212" s="15" t="str">
        <x:f>IF(F212=G212,"Tie",IF(F212&gt;G212,D212,E212))</x:f>
        <x:v>Great Resumes Fast</x:v>
      </x:c>
      <x:c r="J212" s="15" t="str">
        <x:f>IF(H212=0,"Exact score tie",IF(ABS(H212)&lt;2,"Close editorial call","Model preference"))</x:f>
        <x:v>Model preference</x:v>
      </x:c>
      <x:c r="K212" s="15" t="str">
        <x:v>S025 S026 S027 S028 S051 S052 S053 S054 S122</x:v>
      </x:c>
    </x:row>
    <x:row r="213" ht="64" customHeight="1">
      <x:c r="A213" s="15" t="n">
        <x:v>208</x:v>
      </x:c>
      <x:c r="B213" s="15" t="str">
        <x:v>C06</x:v>
      </x:c>
      <x:c r="C213" s="15" t="str">
        <x:v>C07</x:v>
      </x:c>
      <x:c r="D213" s="15" t="str">
        <x:v>Great Resumes Fast</x:v>
      </x:c>
      <x:c r="E213" s="15" t="str">
        <x:v>TopResume</x:v>
      </x:c>
      <x:c r="F213" s="34" t="n">
        <x:f>'Score Inputs'!L11</x:f>
        <x:v>80.5</x:v>
      </x:c>
      <x:c r="G213" s="34" t="n">
        <x:f>'Score Inputs'!L12</x:f>
        <x:v>62.75</x:v>
      </x:c>
      <x:c r="H213" s="34" t="n">
        <x:f>F213-G213</x:f>
        <x:v>17.75</x:v>
      </x:c>
      <x:c r="I213" s="15" t="str">
        <x:f>IF(F213=G213,"Tie",IF(F213&gt;G213,D213,E213))</x:f>
        <x:v>Great Resumes Fast</x:v>
      </x:c>
      <x:c r="J213" s="15" t="str">
        <x:f>IF(H213=0,"Exact score tie",IF(ABS(H213)&lt;2,"Close editorial call","Model preference"))</x:f>
        <x:v>Model preference</x:v>
      </x:c>
      <x:c r="K213" s="15" t="str">
        <x:v>S025 S026 S027 S028 S029 S030 S031 S032 S034 S035 S036 S122</x:v>
      </x:c>
    </x:row>
    <x:row r="214" ht="64" customHeight="1">
      <x:c r="A214" s="15" t="n">
        <x:v>209</x:v>
      </x:c>
      <x:c r="B214" s="15" t="str">
        <x:v>C06</x:v>
      </x:c>
      <x:c r="C214" s="15" t="str">
        <x:v>C14</x:v>
      </x:c>
      <x:c r="D214" s="15" t="str">
        <x:v>Great Resumes Fast</x:v>
      </x:c>
      <x:c r="E214" s="15" t="str">
        <x:v>Resume Writing Group</x:v>
      </x:c>
      <x:c r="F214" s="34" t="n">
        <x:f>'Score Inputs'!L11</x:f>
        <x:v>80.5</x:v>
      </x:c>
      <x:c r="G214" s="34" t="n">
        <x:f>'Score Inputs'!L19</x:f>
        <x:v>59.75</x:v>
      </x:c>
      <x:c r="H214" s="34" t="n">
        <x:f>F214-G214</x:f>
        <x:v>20.75</x:v>
      </x:c>
      <x:c r="I214" s="15" t="str">
        <x:f>IF(F214=G214,"Tie",IF(F214&gt;G214,D214,E214))</x:f>
        <x:v>Great Resumes Fast</x:v>
      </x:c>
      <x:c r="J214" s="15" t="str">
        <x:f>IF(H214=0,"Exact score tie",IF(ABS(H214)&lt;2,"Close editorial call","Model preference"))</x:f>
        <x:v>Model preference</x:v>
      </x:c>
      <x:c r="K214" s="15" t="str">
        <x:v>S025 S026 S027 S028 S067 S068 S069 S070 S122</x:v>
      </x:c>
    </x:row>
    <x:row r="215" ht="64" customHeight="1">
      <x:c r="A215" s="15" t="n">
        <x:v>210</x:v>
      </x:c>
      <x:c r="B215" s="15" t="str">
        <x:v>C12</x:v>
      </x:c>
      <x:c r="C215" s="15" t="str">
        <x:v>C01</x:v>
      </x:c>
      <x:c r="D215" s="15" t="str">
        <x:v>iCareerSolutions</x:v>
      </x:c>
      <x:c r="E215" s="15" t="str">
        <x:v>Let’s Eat, Grandma</x:v>
      </x:c>
      <x:c r="F215" s="34" t="n">
        <x:f>'Score Inputs'!L17</x:f>
        <x:v>80.5</x:v>
      </x:c>
      <x:c r="G215" s="34" t="n">
        <x:f>'Score Inputs'!L6</x:f>
        <x:v>80.25</x:v>
      </x:c>
      <x:c r="H215" s="34" t="n">
        <x:f>F215-G215</x:f>
        <x:v>0.25</x:v>
      </x:c>
      <x:c r="I215" s="15" t="str">
        <x:f>IF(F215=G215,"Tie",IF(F215&gt;G215,D215,E215))</x:f>
        <x:v>iCareerSolutions</x:v>
      </x:c>
      <x:c r="J215" s="15" t="str">
        <x:f>IF(H215=0,"Exact score tie",IF(ABS(H215)&lt;2,"Close editorial call","Model preference"))</x:f>
        <x:v>Close editorial call</x:v>
      </x:c>
      <x:c r="K215" s="15" t="str">
        <x:v>S001 S002 S003 S004 S055 S056 S057 S058 S059</x:v>
      </x:c>
    </x:row>
    <x:row r="216" ht="64" customHeight="1">
      <x:c r="A216" s="15" t="n">
        <x:v>211</x:v>
      </x:c>
      <x:c r="B216" s="15" t="str">
        <x:v>C12</x:v>
      </x:c>
      <x:c r="C216" s="15" t="str">
        <x:v>C22</x:v>
      </x:c>
      <x:c r="D216" s="15" t="str">
        <x:v>iCareerSolutions</x:v>
      </x:c>
      <x:c r="E216" s="15" t="str">
        <x:v>Briefcase Coach</x:v>
      </x:c>
      <x:c r="F216" s="34" t="n">
        <x:f>'Score Inputs'!L17</x:f>
        <x:v>80.5</x:v>
      </x:c>
      <x:c r="G216" s="34" t="n">
        <x:f>'Score Inputs'!L27</x:f>
        <x:v>79.25</x:v>
      </x:c>
      <x:c r="H216" s="34" t="n">
        <x:f>F216-G216</x:f>
        <x:v>1.25</x:v>
      </x:c>
      <x:c r="I216" s="15" t="str">
        <x:f>IF(F216=G216,"Tie",IF(F216&gt;G216,D216,E216))</x:f>
        <x:v>iCareerSolutions</x:v>
      </x:c>
      <x:c r="J216" s="15" t="str">
        <x:f>IF(H216=0,"Exact score tie",IF(ABS(H216)&lt;2,"Close editorial call","Model preference"))</x:f>
        <x:v>Close editorial call</x:v>
      </x:c>
      <x:c r="K216" s="15" t="str">
        <x:v>S055 S056 S057 S058 S059 S097 S098 S109 S110</x:v>
      </x:c>
    </x:row>
    <x:row r="217" ht="64" customHeight="1">
      <x:c r="A217" s="15" t="n">
        <x:v>212</x:v>
      </x:c>
      <x:c r="B217" s="15" t="str">
        <x:v>C12</x:v>
      </x:c>
      <x:c r="C217" s="15" t="str">
        <x:v>C21</x:v>
      </x:c>
      <x:c r="D217" s="15" t="str">
        <x:v>iCareerSolutions</x:v>
      </x:c>
      <x:c r="E217" s="15" t="str">
        <x:v>Blue Sky Resumes</x:v>
      </x:c>
      <x:c r="F217" s="34" t="n">
        <x:f>'Score Inputs'!L17</x:f>
        <x:v>80.5</x:v>
      </x:c>
      <x:c r="G217" s="34" t="n">
        <x:f>'Score Inputs'!L26</x:f>
        <x:v>79.25</x:v>
      </x:c>
      <x:c r="H217" s="34" t="n">
        <x:f>F217-G217</x:f>
        <x:v>1.25</x:v>
      </x:c>
      <x:c r="I217" s="15" t="str">
        <x:f>IF(F217=G217,"Tie",IF(F217&gt;G217,D217,E217))</x:f>
        <x:v>iCareerSolutions</x:v>
      </x:c>
      <x:c r="J217" s="15" t="str">
        <x:f>IF(H217=0,"Exact score tie",IF(ABS(H217)&lt;2,"Close editorial call","Model preference"))</x:f>
        <x:v>Close editorial call</x:v>
      </x:c>
      <x:c r="K217" s="15" t="str">
        <x:v>S055 S056 S057 S058 S059 S095 S096 S111 S112</x:v>
      </x:c>
    </x:row>
    <x:row r="218" ht="64" customHeight="1">
      <x:c r="A218" s="15" t="n">
        <x:v>213</x:v>
      </x:c>
      <x:c r="B218" s="15" t="str">
        <x:v>C12</x:v>
      </x:c>
      <x:c r="C218" s="15" t="str">
        <x:v>C19</x:v>
      </x:c>
      <x:c r="D218" s="15" t="str">
        <x:v>iCareerSolutions</x:v>
      </x:c>
      <x:c r="E218" s="15" t="str">
        <x:v>CareerProPlus / CareerPro Global</x:v>
      </x:c>
      <x:c r="F218" s="34" t="n">
        <x:f>'Score Inputs'!L17</x:f>
        <x:v>80.5</x:v>
      </x:c>
      <x:c r="G218" s="34" t="n">
        <x:f>'Score Inputs'!L24</x:f>
        <x:v>77.5</x:v>
      </x:c>
      <x:c r="H218" s="34" t="n">
        <x:f>F218-G218</x:f>
        <x:v>3</x:v>
      </x:c>
      <x:c r="I218" s="15" t="str">
        <x:f>IF(F218=G218,"Tie",IF(F218&gt;G218,D218,E218))</x:f>
        <x:v>iCareerSolutions</x:v>
      </x:c>
      <x:c r="J218" s="15" t="str">
        <x:f>IF(H218=0,"Exact score tie",IF(ABS(H218)&lt;2,"Close editorial call","Model preference"))</x:f>
        <x:v>Model preference</x:v>
      </x:c>
      <x:c r="K218" s="15" t="str">
        <x:v>S055 S056 S057 S058 S059 S089 S090 S091 S092</x:v>
      </x:c>
    </x:row>
    <x:row r="219" ht="64" customHeight="1">
      <x:c r="A219" s="15" t="n">
        <x:v>214</x:v>
      </x:c>
      <x:c r="B219" s="15" t="str">
        <x:v>C12</x:v>
      </x:c>
      <x:c r="C219" s="15" t="str">
        <x:v>C24</x:v>
      </x:c>
      <x:c r="D219" s="15" t="str">
        <x:v>iCareerSolutions</x:v>
      </x:c>
      <x:c r="E219" s="15" t="str">
        <x:v>Scientech Resumes / Scientech Career Systems</x:v>
      </x:c>
      <x:c r="F219" s="34" t="n">
        <x:f>'Score Inputs'!L17</x:f>
        <x:v>80.5</x:v>
      </x:c>
      <x:c r="G219" s="34" t="n">
        <x:f>'Score Inputs'!L29</x:f>
        <x:v>77.25</x:v>
      </x:c>
      <x:c r="H219" s="34" t="n">
        <x:f>F219-G219</x:f>
        <x:v>3.25</x:v>
      </x:c>
      <x:c r="I219" s="15" t="str">
        <x:f>IF(F219=G219,"Tie",IF(F219&gt;G219,D219,E219))</x:f>
        <x:v>iCareerSolutions</x:v>
      </x:c>
      <x:c r="J219" s="15" t="str">
        <x:f>IF(H219=0,"Exact score tie",IF(ABS(H219)&lt;2,"Close editorial call","Model preference"))</x:f>
        <x:v>Model preference</x:v>
      </x:c>
      <x:c r="K219" s="15" t="str">
        <x:v>S055 S056 S057 S058 S059 S102 S104 S113 S114</x:v>
      </x:c>
    </x:row>
    <x:row r="220" ht="64" customHeight="1">
      <x:c r="A220" s="15" t="n">
        <x:v>215</x:v>
      </x:c>
      <x:c r="B220" s="15" t="str">
        <x:v>C12</x:v>
      </x:c>
      <x:c r="C220" s="15" t="str">
        <x:v>C03</x:v>
      </x:c>
      <x:c r="D220" s="15" t="str">
        <x:v>iCareerSolutions</x:v>
      </x:c>
      <x:c r="E220" s="15" t="str">
        <x:v>TopStack Resume</x:v>
      </x:c>
      <x:c r="F220" s="34" t="n">
        <x:f>'Score Inputs'!L17</x:f>
        <x:v>80.5</x:v>
      </x:c>
      <x:c r="G220" s="34" t="n">
        <x:f>'Score Inputs'!L8</x:f>
        <x:v>76.75</x:v>
      </x:c>
      <x:c r="H220" s="34" t="n">
        <x:f>F220-G220</x:f>
        <x:v>3.75</x:v>
      </x:c>
      <x:c r="I220" s="15" t="str">
        <x:f>IF(F220=G220,"Tie",IF(F220&gt;G220,D220,E220))</x:f>
        <x:v>iCareerSolutions</x:v>
      </x:c>
      <x:c r="J220" s="15" t="str">
        <x:f>IF(H220=0,"Exact score tie",IF(ABS(H220)&lt;2,"Close editorial call","Model preference"))</x:f>
        <x:v>Model preference</x:v>
      </x:c>
      <x:c r="K220" s="15" t="str">
        <x:v>S010 S011 S012 S013 S055 S056 S057 S058 S059 S108</x:v>
      </x:c>
    </x:row>
    <x:row r="221" ht="64" customHeight="1">
      <x:c r="A221" s="15" t="n">
        <x:v>216</x:v>
      </x:c>
      <x:c r="B221" s="15" t="str">
        <x:v>C12</x:v>
      </x:c>
      <x:c r="C221" s="15" t="str">
        <x:v>C08</x:v>
      </x:c>
      <x:c r="D221" s="15" t="str">
        <x:v>iCareerSolutions</x:v>
      </x:c>
      <x:c r="E221" s="15" t="str">
        <x:v>The Resume Place</x:v>
      </x:c>
      <x:c r="F221" s="34" t="n">
        <x:f>'Score Inputs'!L17</x:f>
        <x:v>80.5</x:v>
      </x:c>
      <x:c r="G221" s="34" t="n">
        <x:f>'Score Inputs'!L13</x:f>
        <x:v>76.75</x:v>
      </x:c>
      <x:c r="H221" s="34" t="n">
        <x:f>F221-G221</x:f>
        <x:v>3.75</x:v>
      </x:c>
      <x:c r="I221" s="15" t="str">
        <x:f>IF(F221=G221,"Tie",IF(F221&gt;G221,D221,E221))</x:f>
        <x:v>iCareerSolutions</x:v>
      </x:c>
      <x:c r="J221" s="15" t="str">
        <x:f>IF(H221=0,"Exact score tie",IF(ABS(H221)&lt;2,"Close editorial call","Model preference"))</x:f>
        <x:v>Model preference</x:v>
      </x:c>
      <x:c r="K221" s="15" t="str">
        <x:v>S037 S038 S039 S040 S055 S056 S057 S058 S059 S066</x:v>
      </x:c>
    </x:row>
    <x:row r="222" ht="64" customHeight="1">
      <x:c r="A222" s="15" t="n">
        <x:v>217</x:v>
      </x:c>
      <x:c r="B222" s="15" t="str">
        <x:v>C12</x:v>
      </x:c>
      <x:c r="C222" s="15" t="str">
        <x:v>C23</x:v>
      </x:c>
      <x:c r="D222" s="15" t="str">
        <x:v>iCareerSolutions</x:v>
      </x:c>
      <x:c r="E222" s="15" t="str">
        <x:v>Klaxos</x:v>
      </x:c>
      <x:c r="F222" s="34" t="n">
        <x:f>'Score Inputs'!L17</x:f>
        <x:v>80.5</x:v>
      </x:c>
      <x:c r="G222" s="34" t="n">
        <x:f>'Score Inputs'!L28</x:f>
        <x:v>75.75</x:v>
      </x:c>
      <x:c r="H222" s="34" t="n">
        <x:f>F222-G222</x:f>
        <x:v>4.75</x:v>
      </x:c>
      <x:c r="I222" s="15" t="str">
        <x:f>IF(F222=G222,"Tie",IF(F222&gt;G222,D222,E222))</x:f>
        <x:v>iCareerSolutions</x:v>
      </x:c>
      <x:c r="J222" s="15" t="str">
        <x:f>IF(H222=0,"Exact score tie",IF(ABS(H222)&lt;2,"Close editorial call","Model preference"))</x:f>
        <x:v>Model preference</x:v>
      </x:c>
      <x:c r="K222" s="15" t="str">
        <x:v>S055 S056 S057 S058 S059 S099 S100 S101</x:v>
      </x:c>
    </x:row>
    <x:row r="223" ht="64" customHeight="1">
      <x:c r="A223" s="15" t="n">
        <x:v>218</x:v>
      </x:c>
      <x:c r="B223" s="15" t="str">
        <x:v>C12</x:v>
      </x:c>
      <x:c r="C223" s="15" t="str">
        <x:v>C04</x:v>
      </x:c>
      <x:c r="D223" s="15" t="str">
        <x:v>iCareerSolutions</x:v>
      </x:c>
      <x:c r="E223" s="15" t="str">
        <x:v>Resumeble</x:v>
      </x:c>
      <x:c r="F223" s="34" t="n">
        <x:f>'Score Inputs'!L17</x:f>
        <x:v>80.5</x:v>
      </x:c>
      <x:c r="G223" s="34" t="n">
        <x:f>'Score Inputs'!L9</x:f>
        <x:v>74.5</x:v>
      </x:c>
      <x:c r="H223" s="34" t="n">
        <x:f>F223-G223</x:f>
        <x:v>6</x:v>
      </x:c>
      <x:c r="I223" s="15" t="str">
        <x:f>IF(F223=G223,"Tie",IF(F223&gt;G223,D223,E223))</x:f>
        <x:v>iCareerSolutions</x:v>
      </x:c>
      <x:c r="J223" s="15" t="str">
        <x:f>IF(H223=0,"Exact score tie",IF(ABS(H223)&lt;2,"Close editorial call","Model preference"))</x:f>
        <x:v>Model preference</x:v>
      </x:c>
      <x:c r="K223" s="15" t="str">
        <x:v>S014 S015 S016 S017 S018 S019 S055 S056 S057 S058 S059</x:v>
      </x:c>
    </x:row>
    <x:row r="224" ht="64" customHeight="1">
      <x:c r="A224" s="15" t="n">
        <x:v>219</x:v>
      </x:c>
      <x:c r="B224" s="15" t="str">
        <x:v>C12</x:v>
      </x:c>
      <x:c r="C224" s="15" t="str">
        <x:v>C16</x:v>
      </x:c>
      <x:c r="D224" s="15" t="str">
        <x:v>iCareerSolutions</x:v>
      </x:c>
      <x:c r="E224" s="15" t="str">
        <x:v>Resume Target</x:v>
      </x:c>
      <x:c r="F224" s="34" t="n">
        <x:f>'Score Inputs'!L17</x:f>
        <x:v>80.5</x:v>
      </x:c>
      <x:c r="G224" s="34" t="n">
        <x:f>'Score Inputs'!L21</x:f>
        <x:v>74.5</x:v>
      </x:c>
      <x:c r="H224" s="34" t="n">
        <x:f>F224-G224</x:f>
        <x:v>6</x:v>
      </x:c>
      <x:c r="I224" s="15" t="str">
        <x:f>IF(F224=G224,"Tie",IF(F224&gt;G224,D224,E224))</x:f>
        <x:v>iCareerSolutions</x:v>
      </x:c>
      <x:c r="J224" s="15" t="str">
        <x:f>IF(H224=0,"Exact score tie",IF(ABS(H224)&lt;2,"Close editorial call","Model preference"))</x:f>
        <x:v>Model preference</x:v>
      </x:c>
      <x:c r="K224" s="15" t="str">
        <x:v>S055 S056 S057 S058 S059 S075 S076 S077 S078</x:v>
      </x:c>
    </x:row>
    <x:row r="225" ht="64" customHeight="1">
      <x:c r="A225" s="15" t="n">
        <x:v>220</x:v>
      </x:c>
      <x:c r="B225" s="15" t="str">
        <x:v>C12</x:v>
      </x:c>
      <x:c r="C225" s="15" t="str">
        <x:v>C11</x:v>
      </x:c>
      <x:c r="D225" s="15" t="str">
        <x:v>iCareerSolutions</x:v>
      </x:c>
      <x:c r="E225" s="15" t="str">
        <x:v>Resume Professional Writers</x:v>
      </x:c>
      <x:c r="F225" s="34" t="n">
        <x:f>'Score Inputs'!L17</x:f>
        <x:v>80.5</x:v>
      </x:c>
      <x:c r="G225" s="34" t="n">
        <x:f>'Score Inputs'!L16</x:f>
        <x:v>65.75</x:v>
      </x:c>
      <x:c r="H225" s="34" t="n">
        <x:f>F225-G225</x:f>
        <x:v>14.75</x:v>
      </x:c>
      <x:c r="I225" s="15" t="str">
        <x:f>IF(F225=G225,"Tie",IF(F225&gt;G225,D225,E225))</x:f>
        <x:v>iCareerSolutions</x:v>
      </x:c>
      <x:c r="J225" s="15" t="str">
        <x:f>IF(H225=0,"Exact score tie",IF(ABS(H225)&lt;2,"Close editorial call","Model preference"))</x:f>
        <x:v>Model preference</x:v>
      </x:c>
      <x:c r="K225" s="15" t="str">
        <x:v>S051 S052 S053 S054 S055 S056 S057 S058 S059</x:v>
      </x:c>
    </x:row>
    <x:row r="226" ht="64" customHeight="1">
      <x:c r="A226" s="15" t="n">
        <x:v>221</x:v>
      </x:c>
      <x:c r="B226" s="15" t="str">
        <x:v>C12</x:v>
      </x:c>
      <x:c r="C226" s="15" t="str">
        <x:v>C07</x:v>
      </x:c>
      <x:c r="D226" s="15" t="str">
        <x:v>iCareerSolutions</x:v>
      </x:c>
      <x:c r="E226" s="15" t="str">
        <x:v>TopResume</x:v>
      </x:c>
      <x:c r="F226" s="34" t="n">
        <x:f>'Score Inputs'!L17</x:f>
        <x:v>80.5</x:v>
      </x:c>
      <x:c r="G226" s="34" t="n">
        <x:f>'Score Inputs'!L12</x:f>
        <x:v>62.75</x:v>
      </x:c>
      <x:c r="H226" s="34" t="n">
        <x:f>F226-G226</x:f>
        <x:v>17.75</x:v>
      </x:c>
      <x:c r="I226" s="15" t="str">
        <x:f>IF(F226=G226,"Tie",IF(F226&gt;G226,D226,E226))</x:f>
        <x:v>iCareerSolutions</x:v>
      </x:c>
      <x:c r="J226" s="15" t="str">
        <x:f>IF(H226=0,"Exact score tie",IF(ABS(H226)&lt;2,"Close editorial call","Model preference"))</x:f>
        <x:v>Model preference</x:v>
      </x:c>
      <x:c r="K226" s="15" t="str">
        <x:v>S029 S030 S031 S032 S034 S035 S036 S055 S056 S057 S058 S059</x:v>
      </x:c>
    </x:row>
    <x:row r="227" ht="64" customHeight="1">
      <x:c r="A227" s="15" t="n">
        <x:v>222</x:v>
      </x:c>
      <x:c r="B227" s="15" t="str">
        <x:v>C12</x:v>
      </x:c>
      <x:c r="C227" s="15" t="str">
        <x:v>C14</x:v>
      </x:c>
      <x:c r="D227" s="15" t="str">
        <x:v>iCareerSolutions</x:v>
      </x:c>
      <x:c r="E227" s="15" t="str">
        <x:v>Resume Writing Group</x:v>
      </x:c>
      <x:c r="F227" s="34" t="n">
        <x:f>'Score Inputs'!L17</x:f>
        <x:v>80.5</x:v>
      </x:c>
      <x:c r="G227" s="34" t="n">
        <x:f>'Score Inputs'!L19</x:f>
        <x:v>59.75</x:v>
      </x:c>
      <x:c r="H227" s="34" t="n">
        <x:f>F227-G227</x:f>
        <x:v>20.75</x:v>
      </x:c>
      <x:c r="I227" s="15" t="str">
        <x:f>IF(F227=G227,"Tie",IF(F227&gt;G227,D227,E227))</x:f>
        <x:v>iCareerSolutions</x:v>
      </x:c>
      <x:c r="J227" s="15" t="str">
        <x:f>IF(H227=0,"Exact score tie",IF(ABS(H227)&lt;2,"Close editorial call","Model preference"))</x:f>
        <x:v>Model preference</x:v>
      </x:c>
      <x:c r="K227" s="15" t="str">
        <x:v>S055 S056 S057 S058 S059 S067 S068 S069 S070</x:v>
      </x:c>
    </x:row>
    <x:row r="228" ht="64" customHeight="1">
      <x:c r="A228" s="15" t="n">
        <x:v>223</x:v>
      </x:c>
      <x:c r="B228" s="15" t="str">
        <x:v>C01</x:v>
      </x:c>
      <x:c r="C228" s="15" t="str">
        <x:v>C22</x:v>
      </x:c>
      <x:c r="D228" s="15" t="str">
        <x:v>Let’s Eat, Grandma</x:v>
      </x:c>
      <x:c r="E228" s="15" t="str">
        <x:v>Briefcase Coach</x:v>
      </x:c>
      <x:c r="F228" s="34" t="n">
        <x:f>'Score Inputs'!L6</x:f>
        <x:v>80.25</x:v>
      </x:c>
      <x:c r="G228" s="34" t="n">
        <x:f>'Score Inputs'!L27</x:f>
        <x:v>79.25</x:v>
      </x:c>
      <x:c r="H228" s="34" t="n">
        <x:f>F228-G228</x:f>
        <x:v>1</x:v>
      </x:c>
      <x:c r="I228" s="15" t="str">
        <x:f>IF(F228=G228,"Tie",IF(F228&gt;G228,D228,E228))</x:f>
        <x:v>Let’s Eat, Grandma</x:v>
      </x:c>
      <x:c r="J228" s="15" t="str">
        <x:f>IF(H228=0,"Exact score tie",IF(ABS(H228)&lt;2,"Close editorial call","Model preference"))</x:f>
        <x:v>Close editorial call</x:v>
      </x:c>
      <x:c r="K228" s="15" t="str">
        <x:v>S001 S002 S003 S004 S097 S098 S109 S110</x:v>
      </x:c>
    </x:row>
    <x:row r="229" ht="64" customHeight="1">
      <x:c r="A229" s="15" t="n">
        <x:v>224</x:v>
      </x:c>
      <x:c r="B229" s="15" t="str">
        <x:v>C01</x:v>
      </x:c>
      <x:c r="C229" s="15" t="str">
        <x:v>C21</x:v>
      </x:c>
      <x:c r="D229" s="15" t="str">
        <x:v>Let’s Eat, Grandma</x:v>
      </x:c>
      <x:c r="E229" s="15" t="str">
        <x:v>Blue Sky Resumes</x:v>
      </x:c>
      <x:c r="F229" s="34" t="n">
        <x:f>'Score Inputs'!L6</x:f>
        <x:v>80.25</x:v>
      </x:c>
      <x:c r="G229" s="34" t="n">
        <x:f>'Score Inputs'!L26</x:f>
        <x:v>79.25</x:v>
      </x:c>
      <x:c r="H229" s="34" t="n">
        <x:f>F229-G229</x:f>
        <x:v>1</x:v>
      </x:c>
      <x:c r="I229" s="15" t="str">
        <x:f>IF(F229=G229,"Tie",IF(F229&gt;G229,D229,E229))</x:f>
        <x:v>Let’s Eat, Grandma</x:v>
      </x:c>
      <x:c r="J229" s="15" t="str">
        <x:f>IF(H229=0,"Exact score tie",IF(ABS(H229)&lt;2,"Close editorial call","Model preference"))</x:f>
        <x:v>Close editorial call</x:v>
      </x:c>
      <x:c r="K229" s="15" t="str">
        <x:v>S001 S002 S003 S004 S095 S096 S111 S112</x:v>
      </x:c>
    </x:row>
    <x:row r="230" ht="64" customHeight="1">
      <x:c r="A230" s="15" t="n">
        <x:v>225</x:v>
      </x:c>
      <x:c r="B230" s="15" t="str">
        <x:v>C01</x:v>
      </x:c>
      <x:c r="C230" s="15" t="str">
        <x:v>C19</x:v>
      </x:c>
      <x:c r="D230" s="15" t="str">
        <x:v>Let’s Eat, Grandma</x:v>
      </x:c>
      <x:c r="E230" s="15" t="str">
        <x:v>CareerProPlus / CareerPro Global</x:v>
      </x:c>
      <x:c r="F230" s="34" t="n">
        <x:f>'Score Inputs'!L6</x:f>
        <x:v>80.25</x:v>
      </x:c>
      <x:c r="G230" s="34" t="n">
        <x:f>'Score Inputs'!L24</x:f>
        <x:v>77.5</x:v>
      </x:c>
      <x:c r="H230" s="34" t="n">
        <x:f>F230-G230</x:f>
        <x:v>2.75</x:v>
      </x:c>
      <x:c r="I230" s="15" t="str">
        <x:f>IF(F230=G230,"Tie",IF(F230&gt;G230,D230,E230))</x:f>
        <x:v>Let’s Eat, Grandma</x:v>
      </x:c>
      <x:c r="J230" s="15" t="str">
        <x:f>IF(H230=0,"Exact score tie",IF(ABS(H230)&lt;2,"Close editorial call","Model preference"))</x:f>
        <x:v>Model preference</x:v>
      </x:c>
      <x:c r="K230" s="15" t="str">
        <x:v>S001 S002 S003 S004 S089 S090 S091 S092</x:v>
      </x:c>
    </x:row>
    <x:row r="231" ht="64" customHeight="1">
      <x:c r="A231" s="15" t="n">
        <x:v>226</x:v>
      </x:c>
      <x:c r="B231" s="15" t="str">
        <x:v>C01</x:v>
      </x:c>
      <x:c r="C231" s="15" t="str">
        <x:v>C24</x:v>
      </x:c>
      <x:c r="D231" s="15" t="str">
        <x:v>Let’s Eat, Grandma</x:v>
      </x:c>
      <x:c r="E231" s="15" t="str">
        <x:v>Scientech Resumes / Scientech Career Systems</x:v>
      </x:c>
      <x:c r="F231" s="34" t="n">
        <x:f>'Score Inputs'!L6</x:f>
        <x:v>80.25</x:v>
      </x:c>
      <x:c r="G231" s="34" t="n">
        <x:f>'Score Inputs'!L29</x:f>
        <x:v>77.25</x:v>
      </x:c>
      <x:c r="H231" s="34" t="n">
        <x:f>F231-G231</x:f>
        <x:v>3</x:v>
      </x:c>
      <x:c r="I231" s="15" t="str">
        <x:f>IF(F231=G231,"Tie",IF(F231&gt;G231,D231,E231))</x:f>
        <x:v>Let’s Eat, Grandma</x:v>
      </x:c>
      <x:c r="J231" s="15" t="str">
        <x:f>IF(H231=0,"Exact score tie",IF(ABS(H231)&lt;2,"Close editorial call","Model preference"))</x:f>
        <x:v>Model preference</x:v>
      </x:c>
      <x:c r="K231" s="15" t="str">
        <x:v>S001 S002 S003 S004 S102 S104 S113 S114</x:v>
      </x:c>
    </x:row>
    <x:row r="232" ht="64" customHeight="1">
      <x:c r="A232" s="15" t="n">
        <x:v>227</x:v>
      </x:c>
      <x:c r="B232" s="15" t="str">
        <x:v>C01</x:v>
      </x:c>
      <x:c r="C232" s="15" t="str">
        <x:v>C03</x:v>
      </x:c>
      <x:c r="D232" s="15" t="str">
        <x:v>Let’s Eat, Grandma</x:v>
      </x:c>
      <x:c r="E232" s="15" t="str">
        <x:v>TopStack Resume</x:v>
      </x:c>
      <x:c r="F232" s="34" t="n">
        <x:f>'Score Inputs'!L6</x:f>
        <x:v>80.25</x:v>
      </x:c>
      <x:c r="G232" s="34" t="n">
        <x:f>'Score Inputs'!L8</x:f>
        <x:v>76.75</x:v>
      </x:c>
      <x:c r="H232" s="34" t="n">
        <x:f>F232-G232</x:f>
        <x:v>3.5</x:v>
      </x:c>
      <x:c r="I232" s="15" t="str">
        <x:f>IF(F232=G232,"Tie",IF(F232&gt;G232,D232,E232))</x:f>
        <x:v>Let’s Eat, Grandma</x:v>
      </x:c>
      <x:c r="J232" s="15" t="str">
        <x:f>IF(H232=0,"Exact score tie",IF(ABS(H232)&lt;2,"Close editorial call","Model preference"))</x:f>
        <x:v>Model preference</x:v>
      </x:c>
      <x:c r="K232" s="15" t="str">
        <x:v>S001 S002 S003 S004 S010 S011 S012 S013 S108</x:v>
      </x:c>
    </x:row>
    <x:row r="233" ht="64" customHeight="1">
      <x:c r="A233" s="15" t="n">
        <x:v>228</x:v>
      </x:c>
      <x:c r="B233" s="15" t="str">
        <x:v>C01</x:v>
      </x:c>
      <x:c r="C233" s="15" t="str">
        <x:v>C08</x:v>
      </x:c>
      <x:c r="D233" s="15" t="str">
        <x:v>Let’s Eat, Grandma</x:v>
      </x:c>
      <x:c r="E233" s="15" t="str">
        <x:v>The Resume Place</x:v>
      </x:c>
      <x:c r="F233" s="34" t="n">
        <x:f>'Score Inputs'!L6</x:f>
        <x:v>80.25</x:v>
      </x:c>
      <x:c r="G233" s="34" t="n">
        <x:f>'Score Inputs'!L13</x:f>
        <x:v>76.75</x:v>
      </x:c>
      <x:c r="H233" s="34" t="n">
        <x:f>F233-G233</x:f>
        <x:v>3.5</x:v>
      </x:c>
      <x:c r="I233" s="15" t="str">
        <x:f>IF(F233=G233,"Tie",IF(F233&gt;G233,D233,E233))</x:f>
        <x:v>Let’s Eat, Grandma</x:v>
      </x:c>
      <x:c r="J233" s="15" t="str">
        <x:f>IF(H233=0,"Exact score tie",IF(ABS(H233)&lt;2,"Close editorial call","Model preference"))</x:f>
        <x:v>Model preference</x:v>
      </x:c>
      <x:c r="K233" s="15" t="str">
        <x:v>S001 S002 S003 S004 S037 S038 S039 S040 S066</x:v>
      </x:c>
    </x:row>
    <x:row r="234" ht="64" customHeight="1">
      <x:c r="A234" s="15" t="n">
        <x:v>229</x:v>
      </x:c>
      <x:c r="B234" s="15" t="str">
        <x:v>C01</x:v>
      </x:c>
      <x:c r="C234" s="15" t="str">
        <x:v>C23</x:v>
      </x:c>
      <x:c r="D234" s="15" t="str">
        <x:v>Let’s Eat, Grandma</x:v>
      </x:c>
      <x:c r="E234" s="15" t="str">
        <x:v>Klaxos</x:v>
      </x:c>
      <x:c r="F234" s="34" t="n">
        <x:f>'Score Inputs'!L6</x:f>
        <x:v>80.25</x:v>
      </x:c>
      <x:c r="G234" s="34" t="n">
        <x:f>'Score Inputs'!L28</x:f>
        <x:v>75.75</x:v>
      </x:c>
      <x:c r="H234" s="34" t="n">
        <x:f>F234-G234</x:f>
        <x:v>4.5</x:v>
      </x:c>
      <x:c r="I234" s="15" t="str">
        <x:f>IF(F234=G234,"Tie",IF(F234&gt;G234,D234,E234))</x:f>
        <x:v>Let’s Eat, Grandma</x:v>
      </x:c>
      <x:c r="J234" s="15" t="str">
        <x:f>IF(H234=0,"Exact score tie",IF(ABS(H234)&lt;2,"Close editorial call","Model preference"))</x:f>
        <x:v>Model preference</x:v>
      </x:c>
      <x:c r="K234" s="15" t="str">
        <x:v>S001 S002 S003 S004 S099 S100 S101</x:v>
      </x:c>
    </x:row>
    <x:row r="235" ht="64" customHeight="1">
      <x:c r="A235" s="15" t="n">
        <x:v>230</x:v>
      </x:c>
      <x:c r="B235" s="15" t="str">
        <x:v>C01</x:v>
      </x:c>
      <x:c r="C235" s="15" t="str">
        <x:v>C04</x:v>
      </x:c>
      <x:c r="D235" s="15" t="str">
        <x:v>Let’s Eat, Grandma</x:v>
      </x:c>
      <x:c r="E235" s="15" t="str">
        <x:v>Resumeble</x:v>
      </x:c>
      <x:c r="F235" s="34" t="n">
        <x:f>'Score Inputs'!L6</x:f>
        <x:v>80.25</x:v>
      </x:c>
      <x:c r="G235" s="34" t="n">
        <x:f>'Score Inputs'!L9</x:f>
        <x:v>74.5</x:v>
      </x:c>
      <x:c r="H235" s="34" t="n">
        <x:f>F235-G235</x:f>
        <x:v>5.75</x:v>
      </x:c>
      <x:c r="I235" s="15" t="str">
        <x:f>IF(F235=G235,"Tie",IF(F235&gt;G235,D235,E235))</x:f>
        <x:v>Let’s Eat, Grandma</x:v>
      </x:c>
      <x:c r="J235" s="15" t="str">
        <x:f>IF(H235=0,"Exact score tie",IF(ABS(H235)&lt;2,"Close editorial call","Model preference"))</x:f>
        <x:v>Model preference</x:v>
      </x:c>
      <x:c r="K235" s="15" t="str">
        <x:v>S001 S002 S003 S004 S014 S015 S016 S017 S018 S019</x:v>
      </x:c>
    </x:row>
    <x:row r="236" ht="64" customHeight="1">
      <x:c r="A236" s="15" t="n">
        <x:v>231</x:v>
      </x:c>
      <x:c r="B236" s="15" t="str">
        <x:v>C01</x:v>
      </x:c>
      <x:c r="C236" s="15" t="str">
        <x:v>C16</x:v>
      </x:c>
      <x:c r="D236" s="15" t="str">
        <x:v>Let’s Eat, Grandma</x:v>
      </x:c>
      <x:c r="E236" s="15" t="str">
        <x:v>Resume Target</x:v>
      </x:c>
      <x:c r="F236" s="34" t="n">
        <x:f>'Score Inputs'!L6</x:f>
        <x:v>80.25</x:v>
      </x:c>
      <x:c r="G236" s="34" t="n">
        <x:f>'Score Inputs'!L21</x:f>
        <x:v>74.5</x:v>
      </x:c>
      <x:c r="H236" s="34" t="n">
        <x:f>F236-G236</x:f>
        <x:v>5.75</x:v>
      </x:c>
      <x:c r="I236" s="15" t="str">
        <x:f>IF(F236=G236,"Tie",IF(F236&gt;G236,D236,E236))</x:f>
        <x:v>Let’s Eat, Grandma</x:v>
      </x:c>
      <x:c r="J236" s="15" t="str">
        <x:f>IF(H236=0,"Exact score tie",IF(ABS(H236)&lt;2,"Close editorial call","Model preference"))</x:f>
        <x:v>Model preference</x:v>
      </x:c>
      <x:c r="K236" s="15" t="str">
        <x:v>S001 S002 S003 S004 S075 S076 S077 S078</x:v>
      </x:c>
    </x:row>
    <x:row r="237" ht="64" customHeight="1">
      <x:c r="A237" s="15" t="n">
        <x:v>232</x:v>
      </x:c>
      <x:c r="B237" s="15" t="str">
        <x:v>C01</x:v>
      </x:c>
      <x:c r="C237" s="15" t="str">
        <x:v>C11</x:v>
      </x:c>
      <x:c r="D237" s="15" t="str">
        <x:v>Let’s Eat, Grandma</x:v>
      </x:c>
      <x:c r="E237" s="15" t="str">
        <x:v>Resume Professional Writers</x:v>
      </x:c>
      <x:c r="F237" s="34" t="n">
        <x:f>'Score Inputs'!L6</x:f>
        <x:v>80.25</x:v>
      </x:c>
      <x:c r="G237" s="34" t="n">
        <x:f>'Score Inputs'!L16</x:f>
        <x:v>65.75</x:v>
      </x:c>
      <x:c r="H237" s="34" t="n">
        <x:f>F237-G237</x:f>
        <x:v>14.5</x:v>
      </x:c>
      <x:c r="I237" s="15" t="str">
        <x:f>IF(F237=G237,"Tie",IF(F237&gt;G237,D237,E237))</x:f>
        <x:v>Let’s Eat, Grandma</x:v>
      </x:c>
      <x:c r="J237" s="15" t="str">
        <x:f>IF(H237=0,"Exact score tie",IF(ABS(H237)&lt;2,"Close editorial call","Model preference"))</x:f>
        <x:v>Model preference</x:v>
      </x:c>
      <x:c r="K237" s="15" t="str">
        <x:v>S001 S002 S003 S004 S051 S052 S053 S054</x:v>
      </x:c>
    </x:row>
    <x:row r="238" ht="64" customHeight="1">
      <x:c r="A238" s="15" t="n">
        <x:v>233</x:v>
      </x:c>
      <x:c r="B238" s="15" t="str">
        <x:v>C01</x:v>
      </x:c>
      <x:c r="C238" s="15" t="str">
        <x:v>C07</x:v>
      </x:c>
      <x:c r="D238" s="15" t="str">
        <x:v>Let’s Eat, Grandma</x:v>
      </x:c>
      <x:c r="E238" s="15" t="str">
        <x:v>TopResume</x:v>
      </x:c>
      <x:c r="F238" s="34" t="n">
        <x:f>'Score Inputs'!L6</x:f>
        <x:v>80.25</x:v>
      </x:c>
      <x:c r="G238" s="34" t="n">
        <x:f>'Score Inputs'!L12</x:f>
        <x:v>62.75</x:v>
      </x:c>
      <x:c r="H238" s="34" t="n">
        <x:f>F238-G238</x:f>
        <x:v>17.5</x:v>
      </x:c>
      <x:c r="I238" s="15" t="str">
        <x:f>IF(F238=G238,"Tie",IF(F238&gt;G238,D238,E238))</x:f>
        <x:v>Let’s Eat, Grandma</x:v>
      </x:c>
      <x:c r="J238" s="15" t="str">
        <x:f>IF(H238=0,"Exact score tie",IF(ABS(H238)&lt;2,"Close editorial call","Model preference"))</x:f>
        <x:v>Model preference</x:v>
      </x:c>
      <x:c r="K238" s="15" t="str">
        <x:v>S001 S002 S003 S004 S029 S030 S031 S032 S034 S035 S036</x:v>
      </x:c>
    </x:row>
    <x:row r="239" ht="64" customHeight="1">
      <x:c r="A239" s="15" t="n">
        <x:v>234</x:v>
      </x:c>
      <x:c r="B239" s="15" t="str">
        <x:v>C01</x:v>
      </x:c>
      <x:c r="C239" s="15" t="str">
        <x:v>C14</x:v>
      </x:c>
      <x:c r="D239" s="15" t="str">
        <x:v>Let’s Eat, Grandma</x:v>
      </x:c>
      <x:c r="E239" s="15" t="str">
        <x:v>Resume Writing Group</x:v>
      </x:c>
      <x:c r="F239" s="34" t="n">
        <x:f>'Score Inputs'!L6</x:f>
        <x:v>80.25</x:v>
      </x:c>
      <x:c r="G239" s="34" t="n">
        <x:f>'Score Inputs'!L19</x:f>
        <x:v>59.75</x:v>
      </x:c>
      <x:c r="H239" s="34" t="n">
        <x:f>F239-G239</x:f>
        <x:v>20.5</x:v>
      </x:c>
      <x:c r="I239" s="15" t="str">
        <x:f>IF(F239=G239,"Tie",IF(F239&gt;G239,D239,E239))</x:f>
        <x:v>Let’s Eat, Grandma</x:v>
      </x:c>
      <x:c r="J239" s="15" t="str">
        <x:f>IF(H239=0,"Exact score tie",IF(ABS(H239)&lt;2,"Close editorial call","Model preference"))</x:f>
        <x:v>Model preference</x:v>
      </x:c>
      <x:c r="K239" s="15" t="str">
        <x:v>S001 S002 S003 S004 S067 S068 S069 S070</x:v>
      </x:c>
    </x:row>
    <x:row r="240" ht="64" customHeight="1">
      <x:c r="A240" s="15" t="n">
        <x:v>235</x:v>
      </x:c>
      <x:c r="B240" s="15" t="str">
        <x:v>C22</x:v>
      </x:c>
      <x:c r="C240" s="15" t="str">
        <x:v>C21</x:v>
      </x:c>
      <x:c r="D240" s="15" t="str">
        <x:v>Briefcase Coach</x:v>
      </x:c>
      <x:c r="E240" s="15" t="str">
        <x:v>Blue Sky Resumes</x:v>
      </x:c>
      <x:c r="F240" s="34" t="n">
        <x:f>'Score Inputs'!L27</x:f>
        <x:v>79.25</x:v>
      </x:c>
      <x:c r="G240" s="34" t="n">
        <x:f>'Score Inputs'!L26</x:f>
        <x:v>79.25</x:v>
      </x:c>
      <x:c r="H240" s="34" t="n">
        <x:f>F240-G240</x:f>
        <x:v>0</x:v>
      </x:c>
      <x:c r="I240" s="15" t="str">
        <x:f>IF(F240=G240,"Tie",IF(F240&gt;G240,D240,E240))</x:f>
        <x:v>Tie</x:v>
      </x:c>
      <x:c r="J240" s="15" t="str">
        <x:f>IF(H240=0,"Exact score tie",IF(ABS(H240)&lt;2,"Close editorial call","Model preference"))</x:f>
        <x:v>Exact score tie</x:v>
      </x:c>
      <x:c r="K240" s="15" t="str">
        <x:v>S095 S096 S097 S098 S109 S110 S111 S112</x:v>
      </x:c>
    </x:row>
    <x:row r="241" ht="64" customHeight="1">
      <x:c r="A241" s="15" t="n">
        <x:v>236</x:v>
      </x:c>
      <x:c r="B241" s="15" t="str">
        <x:v>C22</x:v>
      </x:c>
      <x:c r="C241" s="15" t="str">
        <x:v>C19</x:v>
      </x:c>
      <x:c r="D241" s="15" t="str">
        <x:v>Briefcase Coach</x:v>
      </x:c>
      <x:c r="E241" s="15" t="str">
        <x:v>CareerProPlus / CareerPro Global</x:v>
      </x:c>
      <x:c r="F241" s="34" t="n">
        <x:f>'Score Inputs'!L27</x:f>
        <x:v>79.25</x:v>
      </x:c>
      <x:c r="G241" s="34" t="n">
        <x:f>'Score Inputs'!L24</x:f>
        <x:v>77.5</x:v>
      </x:c>
      <x:c r="H241" s="34" t="n">
        <x:f>F241-G241</x:f>
        <x:v>1.75</x:v>
      </x:c>
      <x:c r="I241" s="15" t="str">
        <x:f>IF(F241=G241,"Tie",IF(F241&gt;G241,D241,E241))</x:f>
        <x:v>Briefcase Coach</x:v>
      </x:c>
      <x:c r="J241" s="15" t="str">
        <x:f>IF(H241=0,"Exact score tie",IF(ABS(H241)&lt;2,"Close editorial call","Model preference"))</x:f>
        <x:v>Close editorial call</x:v>
      </x:c>
      <x:c r="K241" s="15" t="str">
        <x:v>S089 S090 S091 S092 S097 S098 S109 S110</x:v>
      </x:c>
    </x:row>
    <x:row r="242" ht="64" customHeight="1">
      <x:c r="A242" s="15" t="n">
        <x:v>237</x:v>
      </x:c>
      <x:c r="B242" s="15" t="str">
        <x:v>C22</x:v>
      </x:c>
      <x:c r="C242" s="15" t="str">
        <x:v>C24</x:v>
      </x:c>
      <x:c r="D242" s="15" t="str">
        <x:v>Briefcase Coach</x:v>
      </x:c>
      <x:c r="E242" s="15" t="str">
        <x:v>Scientech Resumes / Scientech Career Systems</x:v>
      </x:c>
      <x:c r="F242" s="34" t="n">
        <x:f>'Score Inputs'!L27</x:f>
        <x:v>79.25</x:v>
      </x:c>
      <x:c r="G242" s="34" t="n">
        <x:f>'Score Inputs'!L29</x:f>
        <x:v>77.25</x:v>
      </x:c>
      <x:c r="H242" s="34" t="n">
        <x:f>F242-G242</x:f>
        <x:v>2</x:v>
      </x:c>
      <x:c r="I242" s="15" t="str">
        <x:f>IF(F242=G242,"Tie",IF(F242&gt;G242,D242,E242))</x:f>
        <x:v>Briefcase Coach</x:v>
      </x:c>
      <x:c r="J242" s="15" t="str">
        <x:f>IF(H242=0,"Exact score tie",IF(ABS(H242)&lt;2,"Close editorial call","Model preference"))</x:f>
        <x:v>Model preference</x:v>
      </x:c>
      <x:c r="K242" s="15" t="str">
        <x:v>S097 S098 S102 S104 S109 S110 S113 S114</x:v>
      </x:c>
    </x:row>
    <x:row r="243" ht="64" customHeight="1">
      <x:c r="A243" s="15" t="n">
        <x:v>238</x:v>
      </x:c>
      <x:c r="B243" s="15" t="str">
        <x:v>C22</x:v>
      </x:c>
      <x:c r="C243" s="15" t="str">
        <x:v>C03</x:v>
      </x:c>
      <x:c r="D243" s="15" t="str">
        <x:v>Briefcase Coach</x:v>
      </x:c>
      <x:c r="E243" s="15" t="str">
        <x:v>TopStack Resume</x:v>
      </x:c>
      <x:c r="F243" s="34" t="n">
        <x:f>'Score Inputs'!L27</x:f>
        <x:v>79.25</x:v>
      </x:c>
      <x:c r="G243" s="34" t="n">
        <x:f>'Score Inputs'!L8</x:f>
        <x:v>76.75</x:v>
      </x:c>
      <x:c r="H243" s="34" t="n">
        <x:f>F243-G243</x:f>
        <x:v>2.5</x:v>
      </x:c>
      <x:c r="I243" s="15" t="str">
        <x:f>IF(F243=G243,"Tie",IF(F243&gt;G243,D243,E243))</x:f>
        <x:v>Briefcase Coach</x:v>
      </x:c>
      <x:c r="J243" s="15" t="str">
        <x:f>IF(H243=0,"Exact score tie",IF(ABS(H243)&lt;2,"Close editorial call","Model preference"))</x:f>
        <x:v>Model preference</x:v>
      </x:c>
      <x:c r="K243" s="15" t="str">
        <x:v>S010 S011 S012 S013 S097 S098 S108 S109 S110</x:v>
      </x:c>
    </x:row>
    <x:row r="244" ht="64" customHeight="1">
      <x:c r="A244" s="15" t="n">
        <x:v>239</x:v>
      </x:c>
      <x:c r="B244" s="15" t="str">
        <x:v>C22</x:v>
      </x:c>
      <x:c r="C244" s="15" t="str">
        <x:v>C08</x:v>
      </x:c>
      <x:c r="D244" s="15" t="str">
        <x:v>Briefcase Coach</x:v>
      </x:c>
      <x:c r="E244" s="15" t="str">
        <x:v>The Resume Place</x:v>
      </x:c>
      <x:c r="F244" s="34" t="n">
        <x:f>'Score Inputs'!L27</x:f>
        <x:v>79.25</x:v>
      </x:c>
      <x:c r="G244" s="34" t="n">
        <x:f>'Score Inputs'!L13</x:f>
        <x:v>76.75</x:v>
      </x:c>
      <x:c r="H244" s="34" t="n">
        <x:f>F244-G244</x:f>
        <x:v>2.5</x:v>
      </x:c>
      <x:c r="I244" s="15" t="str">
        <x:f>IF(F244=G244,"Tie",IF(F244&gt;G244,D244,E244))</x:f>
        <x:v>Briefcase Coach</x:v>
      </x:c>
      <x:c r="J244" s="15" t="str">
        <x:f>IF(H244=0,"Exact score tie",IF(ABS(H244)&lt;2,"Close editorial call","Model preference"))</x:f>
        <x:v>Model preference</x:v>
      </x:c>
      <x:c r="K244" s="15" t="str">
        <x:v>S037 S038 S039 S040 S066 S097 S098 S109 S110</x:v>
      </x:c>
    </x:row>
    <x:row r="245" ht="64" customHeight="1">
      <x:c r="A245" s="15" t="n">
        <x:v>240</x:v>
      </x:c>
      <x:c r="B245" s="15" t="str">
        <x:v>C22</x:v>
      </x:c>
      <x:c r="C245" s="15" t="str">
        <x:v>C23</x:v>
      </x:c>
      <x:c r="D245" s="15" t="str">
        <x:v>Briefcase Coach</x:v>
      </x:c>
      <x:c r="E245" s="15" t="str">
        <x:v>Klaxos</x:v>
      </x:c>
      <x:c r="F245" s="34" t="n">
        <x:f>'Score Inputs'!L27</x:f>
        <x:v>79.25</x:v>
      </x:c>
      <x:c r="G245" s="34" t="n">
        <x:f>'Score Inputs'!L28</x:f>
        <x:v>75.75</x:v>
      </x:c>
      <x:c r="H245" s="34" t="n">
        <x:f>F245-G245</x:f>
        <x:v>3.5</x:v>
      </x:c>
      <x:c r="I245" s="15" t="str">
        <x:f>IF(F245=G245,"Tie",IF(F245&gt;G245,D245,E245))</x:f>
        <x:v>Briefcase Coach</x:v>
      </x:c>
      <x:c r="J245" s="15" t="str">
        <x:f>IF(H245=0,"Exact score tie",IF(ABS(H245)&lt;2,"Close editorial call","Model preference"))</x:f>
        <x:v>Model preference</x:v>
      </x:c>
      <x:c r="K245" s="15" t="str">
        <x:v>S097 S098 S099 S100 S101 S109 S110</x:v>
      </x:c>
    </x:row>
    <x:row r="246" ht="64" customHeight="1">
      <x:c r="A246" s="15" t="n">
        <x:v>241</x:v>
      </x:c>
      <x:c r="B246" s="15" t="str">
        <x:v>C22</x:v>
      </x:c>
      <x:c r="C246" s="15" t="str">
        <x:v>C04</x:v>
      </x:c>
      <x:c r="D246" s="15" t="str">
        <x:v>Briefcase Coach</x:v>
      </x:c>
      <x:c r="E246" s="15" t="str">
        <x:v>Resumeble</x:v>
      </x:c>
      <x:c r="F246" s="34" t="n">
        <x:f>'Score Inputs'!L27</x:f>
        <x:v>79.25</x:v>
      </x:c>
      <x:c r="G246" s="34" t="n">
        <x:f>'Score Inputs'!L9</x:f>
        <x:v>74.5</x:v>
      </x:c>
      <x:c r="H246" s="34" t="n">
        <x:f>F246-G246</x:f>
        <x:v>4.75</x:v>
      </x:c>
      <x:c r="I246" s="15" t="str">
        <x:f>IF(F246=G246,"Tie",IF(F246&gt;G246,D246,E246))</x:f>
        <x:v>Briefcase Coach</x:v>
      </x:c>
      <x:c r="J246" s="15" t="str">
        <x:f>IF(H246=0,"Exact score tie",IF(ABS(H246)&lt;2,"Close editorial call","Model preference"))</x:f>
        <x:v>Model preference</x:v>
      </x:c>
      <x:c r="K246" s="15" t="str">
        <x:v>S014 S015 S016 S017 S018 S019 S097 S098 S109 S110</x:v>
      </x:c>
    </x:row>
    <x:row r="247" ht="64" customHeight="1">
      <x:c r="A247" s="15" t="n">
        <x:v>242</x:v>
      </x:c>
      <x:c r="B247" s="15" t="str">
        <x:v>C22</x:v>
      </x:c>
      <x:c r="C247" s="15" t="str">
        <x:v>C16</x:v>
      </x:c>
      <x:c r="D247" s="15" t="str">
        <x:v>Briefcase Coach</x:v>
      </x:c>
      <x:c r="E247" s="15" t="str">
        <x:v>Resume Target</x:v>
      </x:c>
      <x:c r="F247" s="34" t="n">
        <x:f>'Score Inputs'!L27</x:f>
        <x:v>79.25</x:v>
      </x:c>
      <x:c r="G247" s="34" t="n">
        <x:f>'Score Inputs'!L21</x:f>
        <x:v>74.5</x:v>
      </x:c>
      <x:c r="H247" s="34" t="n">
        <x:f>F247-G247</x:f>
        <x:v>4.75</x:v>
      </x:c>
      <x:c r="I247" s="15" t="str">
        <x:f>IF(F247=G247,"Tie",IF(F247&gt;G247,D247,E247))</x:f>
        <x:v>Briefcase Coach</x:v>
      </x:c>
      <x:c r="J247" s="15" t="str">
        <x:f>IF(H247=0,"Exact score tie",IF(ABS(H247)&lt;2,"Close editorial call","Model preference"))</x:f>
        <x:v>Model preference</x:v>
      </x:c>
      <x:c r="K247" s="15" t="str">
        <x:v>S075 S076 S077 S078 S097 S098 S109 S110</x:v>
      </x:c>
    </x:row>
    <x:row r="248" ht="64" customHeight="1">
      <x:c r="A248" s="15" t="n">
        <x:v>243</x:v>
      </x:c>
      <x:c r="B248" s="15" t="str">
        <x:v>C22</x:v>
      </x:c>
      <x:c r="C248" s="15" t="str">
        <x:v>C11</x:v>
      </x:c>
      <x:c r="D248" s="15" t="str">
        <x:v>Briefcase Coach</x:v>
      </x:c>
      <x:c r="E248" s="15" t="str">
        <x:v>Resume Professional Writers</x:v>
      </x:c>
      <x:c r="F248" s="34" t="n">
        <x:f>'Score Inputs'!L27</x:f>
        <x:v>79.25</x:v>
      </x:c>
      <x:c r="G248" s="34" t="n">
        <x:f>'Score Inputs'!L16</x:f>
        <x:v>65.75</x:v>
      </x:c>
      <x:c r="H248" s="34" t="n">
        <x:f>F248-G248</x:f>
        <x:v>13.5</x:v>
      </x:c>
      <x:c r="I248" s="15" t="str">
        <x:f>IF(F248=G248,"Tie",IF(F248&gt;G248,D248,E248))</x:f>
        <x:v>Briefcase Coach</x:v>
      </x:c>
      <x:c r="J248" s="15" t="str">
        <x:f>IF(H248=0,"Exact score tie",IF(ABS(H248)&lt;2,"Close editorial call","Model preference"))</x:f>
        <x:v>Model preference</x:v>
      </x:c>
      <x:c r="K248" s="15" t="str">
        <x:v>S051 S052 S053 S054 S097 S098 S109 S110</x:v>
      </x:c>
    </x:row>
    <x:row r="249" ht="64" customHeight="1">
      <x:c r="A249" s="15" t="n">
        <x:v>244</x:v>
      </x:c>
      <x:c r="B249" s="15" t="str">
        <x:v>C22</x:v>
      </x:c>
      <x:c r="C249" s="15" t="str">
        <x:v>C07</x:v>
      </x:c>
      <x:c r="D249" s="15" t="str">
        <x:v>Briefcase Coach</x:v>
      </x:c>
      <x:c r="E249" s="15" t="str">
        <x:v>TopResume</x:v>
      </x:c>
      <x:c r="F249" s="34" t="n">
        <x:f>'Score Inputs'!L27</x:f>
        <x:v>79.25</x:v>
      </x:c>
      <x:c r="G249" s="34" t="n">
        <x:f>'Score Inputs'!L12</x:f>
        <x:v>62.75</x:v>
      </x:c>
      <x:c r="H249" s="34" t="n">
        <x:f>F249-G249</x:f>
        <x:v>16.5</x:v>
      </x:c>
      <x:c r="I249" s="15" t="str">
        <x:f>IF(F249=G249,"Tie",IF(F249&gt;G249,D249,E249))</x:f>
        <x:v>Briefcase Coach</x:v>
      </x:c>
      <x:c r="J249" s="15" t="str">
        <x:f>IF(H249=0,"Exact score tie",IF(ABS(H249)&lt;2,"Close editorial call","Model preference"))</x:f>
        <x:v>Model preference</x:v>
      </x:c>
      <x:c r="K249" s="15" t="str">
        <x:v>S029 S030 S031 S032 S034 S035 S036 S097 S098 S109 S110</x:v>
      </x:c>
    </x:row>
    <x:row r="250" ht="64" customHeight="1">
      <x:c r="A250" s="15" t="n">
        <x:v>245</x:v>
      </x:c>
      <x:c r="B250" s="15" t="str">
        <x:v>C22</x:v>
      </x:c>
      <x:c r="C250" s="15" t="str">
        <x:v>C14</x:v>
      </x:c>
      <x:c r="D250" s="15" t="str">
        <x:v>Briefcase Coach</x:v>
      </x:c>
      <x:c r="E250" s="15" t="str">
        <x:v>Resume Writing Group</x:v>
      </x:c>
      <x:c r="F250" s="34" t="n">
        <x:f>'Score Inputs'!L27</x:f>
        <x:v>79.25</x:v>
      </x:c>
      <x:c r="G250" s="34" t="n">
        <x:f>'Score Inputs'!L19</x:f>
        <x:v>59.75</x:v>
      </x:c>
      <x:c r="H250" s="34" t="n">
        <x:f>F250-G250</x:f>
        <x:v>19.5</x:v>
      </x:c>
      <x:c r="I250" s="15" t="str">
        <x:f>IF(F250=G250,"Tie",IF(F250&gt;G250,D250,E250))</x:f>
        <x:v>Briefcase Coach</x:v>
      </x:c>
      <x:c r="J250" s="15" t="str">
        <x:f>IF(H250=0,"Exact score tie",IF(ABS(H250)&lt;2,"Close editorial call","Model preference"))</x:f>
        <x:v>Model preference</x:v>
      </x:c>
      <x:c r="K250" s="15" t="str">
        <x:v>S067 S068 S069 S070 S097 S098 S109 S110</x:v>
      </x:c>
    </x:row>
    <x:row r="251" ht="64" customHeight="1">
      <x:c r="A251" s="15" t="n">
        <x:v>246</x:v>
      </x:c>
      <x:c r="B251" s="15" t="str">
        <x:v>C21</x:v>
      </x:c>
      <x:c r="C251" s="15" t="str">
        <x:v>C19</x:v>
      </x:c>
      <x:c r="D251" s="15" t="str">
        <x:v>Blue Sky Resumes</x:v>
      </x:c>
      <x:c r="E251" s="15" t="str">
        <x:v>CareerProPlus / CareerPro Global</x:v>
      </x:c>
      <x:c r="F251" s="34" t="n">
        <x:f>'Score Inputs'!L26</x:f>
        <x:v>79.25</x:v>
      </x:c>
      <x:c r="G251" s="34" t="n">
        <x:f>'Score Inputs'!L24</x:f>
        <x:v>77.5</x:v>
      </x:c>
      <x:c r="H251" s="34" t="n">
        <x:f>F251-G251</x:f>
        <x:v>1.75</x:v>
      </x:c>
      <x:c r="I251" s="15" t="str">
        <x:f>IF(F251=G251,"Tie",IF(F251&gt;G251,D251,E251))</x:f>
        <x:v>Blue Sky Resumes</x:v>
      </x:c>
      <x:c r="J251" s="15" t="str">
        <x:f>IF(H251=0,"Exact score tie",IF(ABS(H251)&lt;2,"Close editorial call","Model preference"))</x:f>
        <x:v>Close editorial call</x:v>
      </x:c>
      <x:c r="K251" s="15" t="str">
        <x:v>S089 S090 S091 S092 S095 S096 S111 S112</x:v>
      </x:c>
    </x:row>
    <x:row r="252" ht="64" customHeight="1">
      <x:c r="A252" s="15" t="n">
        <x:v>247</x:v>
      </x:c>
      <x:c r="B252" s="15" t="str">
        <x:v>C21</x:v>
      </x:c>
      <x:c r="C252" s="15" t="str">
        <x:v>C24</x:v>
      </x:c>
      <x:c r="D252" s="15" t="str">
        <x:v>Blue Sky Resumes</x:v>
      </x:c>
      <x:c r="E252" s="15" t="str">
        <x:v>Scientech Resumes / Scientech Career Systems</x:v>
      </x:c>
      <x:c r="F252" s="34" t="n">
        <x:f>'Score Inputs'!L26</x:f>
        <x:v>79.25</x:v>
      </x:c>
      <x:c r="G252" s="34" t="n">
        <x:f>'Score Inputs'!L29</x:f>
        <x:v>77.25</x:v>
      </x:c>
      <x:c r="H252" s="34" t="n">
        <x:f>F252-G252</x:f>
        <x:v>2</x:v>
      </x:c>
      <x:c r="I252" s="15" t="str">
        <x:f>IF(F252=G252,"Tie",IF(F252&gt;G252,D252,E252))</x:f>
        <x:v>Blue Sky Resumes</x:v>
      </x:c>
      <x:c r="J252" s="15" t="str">
        <x:f>IF(H252=0,"Exact score tie",IF(ABS(H252)&lt;2,"Close editorial call","Model preference"))</x:f>
        <x:v>Model preference</x:v>
      </x:c>
      <x:c r="K252" s="15" t="str">
        <x:v>S095 S096 S102 S104 S111 S112 S113 S114</x:v>
      </x:c>
    </x:row>
    <x:row r="253" ht="64" customHeight="1">
      <x:c r="A253" s="15" t="n">
        <x:v>248</x:v>
      </x:c>
      <x:c r="B253" s="15" t="str">
        <x:v>C21</x:v>
      </x:c>
      <x:c r="C253" s="15" t="str">
        <x:v>C03</x:v>
      </x:c>
      <x:c r="D253" s="15" t="str">
        <x:v>Blue Sky Resumes</x:v>
      </x:c>
      <x:c r="E253" s="15" t="str">
        <x:v>TopStack Resume</x:v>
      </x:c>
      <x:c r="F253" s="34" t="n">
        <x:f>'Score Inputs'!L26</x:f>
        <x:v>79.25</x:v>
      </x:c>
      <x:c r="G253" s="34" t="n">
        <x:f>'Score Inputs'!L8</x:f>
        <x:v>76.75</x:v>
      </x:c>
      <x:c r="H253" s="34" t="n">
        <x:f>F253-G253</x:f>
        <x:v>2.5</x:v>
      </x:c>
      <x:c r="I253" s="15" t="str">
        <x:f>IF(F253=G253,"Tie",IF(F253&gt;G253,D253,E253))</x:f>
        <x:v>Blue Sky Resumes</x:v>
      </x:c>
      <x:c r="J253" s="15" t="str">
        <x:f>IF(H253=0,"Exact score tie",IF(ABS(H253)&lt;2,"Close editorial call","Model preference"))</x:f>
        <x:v>Model preference</x:v>
      </x:c>
      <x:c r="K253" s="15" t="str">
        <x:v>S010 S011 S012 S013 S095 S096 S108 S111 S112</x:v>
      </x:c>
    </x:row>
    <x:row r="254" ht="64" customHeight="1">
      <x:c r="A254" s="15" t="n">
        <x:v>249</x:v>
      </x:c>
      <x:c r="B254" s="15" t="str">
        <x:v>C21</x:v>
      </x:c>
      <x:c r="C254" s="15" t="str">
        <x:v>C08</x:v>
      </x:c>
      <x:c r="D254" s="15" t="str">
        <x:v>Blue Sky Resumes</x:v>
      </x:c>
      <x:c r="E254" s="15" t="str">
        <x:v>The Resume Place</x:v>
      </x:c>
      <x:c r="F254" s="34" t="n">
        <x:f>'Score Inputs'!L26</x:f>
        <x:v>79.25</x:v>
      </x:c>
      <x:c r="G254" s="34" t="n">
        <x:f>'Score Inputs'!L13</x:f>
        <x:v>76.75</x:v>
      </x:c>
      <x:c r="H254" s="34" t="n">
        <x:f>F254-G254</x:f>
        <x:v>2.5</x:v>
      </x:c>
      <x:c r="I254" s="15" t="str">
        <x:f>IF(F254=G254,"Tie",IF(F254&gt;G254,D254,E254))</x:f>
        <x:v>Blue Sky Resumes</x:v>
      </x:c>
      <x:c r="J254" s="15" t="str">
        <x:f>IF(H254=0,"Exact score tie",IF(ABS(H254)&lt;2,"Close editorial call","Model preference"))</x:f>
        <x:v>Model preference</x:v>
      </x:c>
      <x:c r="K254" s="15" t="str">
        <x:v>S037 S038 S039 S040 S066 S095 S096 S111 S112</x:v>
      </x:c>
    </x:row>
    <x:row r="255" ht="64" customHeight="1">
      <x:c r="A255" s="15" t="n">
        <x:v>250</x:v>
      </x:c>
      <x:c r="B255" s="15" t="str">
        <x:v>C21</x:v>
      </x:c>
      <x:c r="C255" s="15" t="str">
        <x:v>C23</x:v>
      </x:c>
      <x:c r="D255" s="15" t="str">
        <x:v>Blue Sky Resumes</x:v>
      </x:c>
      <x:c r="E255" s="15" t="str">
        <x:v>Klaxos</x:v>
      </x:c>
      <x:c r="F255" s="34" t="n">
        <x:f>'Score Inputs'!L26</x:f>
        <x:v>79.25</x:v>
      </x:c>
      <x:c r="G255" s="34" t="n">
        <x:f>'Score Inputs'!L28</x:f>
        <x:v>75.75</x:v>
      </x:c>
      <x:c r="H255" s="34" t="n">
        <x:f>F255-G255</x:f>
        <x:v>3.5</x:v>
      </x:c>
      <x:c r="I255" s="15" t="str">
        <x:f>IF(F255=G255,"Tie",IF(F255&gt;G255,D255,E255))</x:f>
        <x:v>Blue Sky Resumes</x:v>
      </x:c>
      <x:c r="J255" s="15" t="str">
        <x:f>IF(H255=0,"Exact score tie",IF(ABS(H255)&lt;2,"Close editorial call","Model preference"))</x:f>
        <x:v>Model preference</x:v>
      </x:c>
      <x:c r="K255" s="15" t="str">
        <x:v>S095 S096 S099 S100 S101 S111 S112</x:v>
      </x:c>
    </x:row>
    <x:row r="256" ht="64" customHeight="1">
      <x:c r="A256" s="15" t="n">
        <x:v>251</x:v>
      </x:c>
      <x:c r="B256" s="15" t="str">
        <x:v>C21</x:v>
      </x:c>
      <x:c r="C256" s="15" t="str">
        <x:v>C04</x:v>
      </x:c>
      <x:c r="D256" s="15" t="str">
        <x:v>Blue Sky Resumes</x:v>
      </x:c>
      <x:c r="E256" s="15" t="str">
        <x:v>Resumeble</x:v>
      </x:c>
      <x:c r="F256" s="34" t="n">
        <x:f>'Score Inputs'!L26</x:f>
        <x:v>79.25</x:v>
      </x:c>
      <x:c r="G256" s="34" t="n">
        <x:f>'Score Inputs'!L9</x:f>
        <x:v>74.5</x:v>
      </x:c>
      <x:c r="H256" s="34" t="n">
        <x:f>F256-G256</x:f>
        <x:v>4.75</x:v>
      </x:c>
      <x:c r="I256" s="15" t="str">
        <x:f>IF(F256=G256,"Tie",IF(F256&gt;G256,D256,E256))</x:f>
        <x:v>Blue Sky Resumes</x:v>
      </x:c>
      <x:c r="J256" s="15" t="str">
        <x:f>IF(H256=0,"Exact score tie",IF(ABS(H256)&lt;2,"Close editorial call","Model preference"))</x:f>
        <x:v>Model preference</x:v>
      </x:c>
      <x:c r="K256" s="15" t="str">
        <x:v>S014 S015 S016 S017 S018 S019 S095 S096 S111 S112</x:v>
      </x:c>
    </x:row>
    <x:row r="257" ht="64" customHeight="1">
      <x:c r="A257" s="15" t="n">
        <x:v>252</x:v>
      </x:c>
      <x:c r="B257" s="15" t="str">
        <x:v>C21</x:v>
      </x:c>
      <x:c r="C257" s="15" t="str">
        <x:v>C16</x:v>
      </x:c>
      <x:c r="D257" s="15" t="str">
        <x:v>Blue Sky Resumes</x:v>
      </x:c>
      <x:c r="E257" s="15" t="str">
        <x:v>Resume Target</x:v>
      </x:c>
      <x:c r="F257" s="34" t="n">
        <x:f>'Score Inputs'!L26</x:f>
        <x:v>79.25</x:v>
      </x:c>
      <x:c r="G257" s="34" t="n">
        <x:f>'Score Inputs'!L21</x:f>
        <x:v>74.5</x:v>
      </x:c>
      <x:c r="H257" s="34" t="n">
        <x:f>F257-G257</x:f>
        <x:v>4.75</x:v>
      </x:c>
      <x:c r="I257" s="15" t="str">
        <x:f>IF(F257=G257,"Tie",IF(F257&gt;G257,D257,E257))</x:f>
        <x:v>Blue Sky Resumes</x:v>
      </x:c>
      <x:c r="J257" s="15" t="str">
        <x:f>IF(H257=0,"Exact score tie",IF(ABS(H257)&lt;2,"Close editorial call","Model preference"))</x:f>
        <x:v>Model preference</x:v>
      </x:c>
      <x:c r="K257" s="15" t="str">
        <x:v>S075 S076 S077 S078 S095 S096 S111 S112</x:v>
      </x:c>
    </x:row>
    <x:row r="258" ht="64" customHeight="1">
      <x:c r="A258" s="15" t="n">
        <x:v>253</x:v>
      </x:c>
      <x:c r="B258" s="15" t="str">
        <x:v>C21</x:v>
      </x:c>
      <x:c r="C258" s="15" t="str">
        <x:v>C11</x:v>
      </x:c>
      <x:c r="D258" s="15" t="str">
        <x:v>Blue Sky Resumes</x:v>
      </x:c>
      <x:c r="E258" s="15" t="str">
        <x:v>Resume Professional Writers</x:v>
      </x:c>
      <x:c r="F258" s="34" t="n">
        <x:f>'Score Inputs'!L26</x:f>
        <x:v>79.25</x:v>
      </x:c>
      <x:c r="G258" s="34" t="n">
        <x:f>'Score Inputs'!L16</x:f>
        <x:v>65.75</x:v>
      </x:c>
      <x:c r="H258" s="34" t="n">
        <x:f>F258-G258</x:f>
        <x:v>13.5</x:v>
      </x:c>
      <x:c r="I258" s="15" t="str">
        <x:f>IF(F258=G258,"Tie",IF(F258&gt;G258,D258,E258))</x:f>
        <x:v>Blue Sky Resumes</x:v>
      </x:c>
      <x:c r="J258" s="15" t="str">
        <x:f>IF(H258=0,"Exact score tie",IF(ABS(H258)&lt;2,"Close editorial call","Model preference"))</x:f>
        <x:v>Model preference</x:v>
      </x:c>
      <x:c r="K258" s="15" t="str">
        <x:v>S051 S052 S053 S054 S095 S096 S111 S112</x:v>
      </x:c>
    </x:row>
    <x:row r="259" ht="64" customHeight="1">
      <x:c r="A259" s="15" t="n">
        <x:v>254</x:v>
      </x:c>
      <x:c r="B259" s="15" t="str">
        <x:v>C21</x:v>
      </x:c>
      <x:c r="C259" s="15" t="str">
        <x:v>C07</x:v>
      </x:c>
      <x:c r="D259" s="15" t="str">
        <x:v>Blue Sky Resumes</x:v>
      </x:c>
      <x:c r="E259" s="15" t="str">
        <x:v>TopResume</x:v>
      </x:c>
      <x:c r="F259" s="34" t="n">
        <x:f>'Score Inputs'!L26</x:f>
        <x:v>79.25</x:v>
      </x:c>
      <x:c r="G259" s="34" t="n">
        <x:f>'Score Inputs'!L12</x:f>
        <x:v>62.75</x:v>
      </x:c>
      <x:c r="H259" s="34" t="n">
        <x:f>F259-G259</x:f>
        <x:v>16.5</x:v>
      </x:c>
      <x:c r="I259" s="15" t="str">
        <x:f>IF(F259=G259,"Tie",IF(F259&gt;G259,D259,E259))</x:f>
        <x:v>Blue Sky Resumes</x:v>
      </x:c>
      <x:c r="J259" s="15" t="str">
        <x:f>IF(H259=0,"Exact score tie",IF(ABS(H259)&lt;2,"Close editorial call","Model preference"))</x:f>
        <x:v>Model preference</x:v>
      </x:c>
      <x:c r="K259" s="15" t="str">
        <x:v>S029 S030 S031 S032 S034 S035 S036 S095 S096 S111 S112</x:v>
      </x:c>
    </x:row>
    <x:row r="260" ht="64" customHeight="1">
      <x:c r="A260" s="15" t="n">
        <x:v>255</x:v>
      </x:c>
      <x:c r="B260" s="15" t="str">
        <x:v>C21</x:v>
      </x:c>
      <x:c r="C260" s="15" t="str">
        <x:v>C14</x:v>
      </x:c>
      <x:c r="D260" s="15" t="str">
        <x:v>Blue Sky Resumes</x:v>
      </x:c>
      <x:c r="E260" s="15" t="str">
        <x:v>Resume Writing Group</x:v>
      </x:c>
      <x:c r="F260" s="34" t="n">
        <x:f>'Score Inputs'!L26</x:f>
        <x:v>79.25</x:v>
      </x:c>
      <x:c r="G260" s="34" t="n">
        <x:f>'Score Inputs'!L19</x:f>
        <x:v>59.75</x:v>
      </x:c>
      <x:c r="H260" s="34" t="n">
        <x:f>F260-G260</x:f>
        <x:v>19.5</x:v>
      </x:c>
      <x:c r="I260" s="15" t="str">
        <x:f>IF(F260=G260,"Tie",IF(F260&gt;G260,D260,E260))</x:f>
        <x:v>Blue Sky Resumes</x:v>
      </x:c>
      <x:c r="J260" s="15" t="str">
        <x:f>IF(H260=0,"Exact score tie",IF(ABS(H260)&lt;2,"Close editorial call","Model preference"))</x:f>
        <x:v>Model preference</x:v>
      </x:c>
      <x:c r="K260" s="15" t="str">
        <x:v>S067 S068 S069 S070 S095 S096 S111 S112</x:v>
      </x:c>
    </x:row>
    <x:row r="261" ht="64" customHeight="1">
      <x:c r="A261" s="15" t="n">
        <x:v>256</x:v>
      </x:c>
      <x:c r="B261" s="15" t="str">
        <x:v>C19</x:v>
      </x:c>
      <x:c r="C261" s="15" t="str">
        <x:v>C24</x:v>
      </x:c>
      <x:c r="D261" s="15" t="str">
        <x:v>CareerProPlus / CareerPro Global</x:v>
      </x:c>
      <x:c r="E261" s="15" t="str">
        <x:v>Scientech Resumes / Scientech Career Systems</x:v>
      </x:c>
      <x:c r="F261" s="34" t="n">
        <x:f>'Score Inputs'!L24</x:f>
        <x:v>77.5</x:v>
      </x:c>
      <x:c r="G261" s="34" t="n">
        <x:f>'Score Inputs'!L29</x:f>
        <x:v>77.25</x:v>
      </x:c>
      <x:c r="H261" s="34" t="n">
        <x:f>F261-G261</x:f>
        <x:v>0.25</x:v>
      </x:c>
      <x:c r="I261" s="15" t="str">
        <x:f>IF(F261=G261,"Tie",IF(F261&gt;G261,D261,E261))</x:f>
        <x:v>CareerProPlus / CareerPro Global</x:v>
      </x:c>
      <x:c r="J261" s="15" t="str">
        <x:f>IF(H261=0,"Exact score tie",IF(ABS(H261)&lt;2,"Close editorial call","Model preference"))</x:f>
        <x:v>Close editorial call</x:v>
      </x:c>
      <x:c r="K261" s="15" t="str">
        <x:v>S089 S090 S091 S092 S102 S104 S113 S114</x:v>
      </x:c>
    </x:row>
    <x:row r="262" ht="64" customHeight="1">
      <x:c r="A262" s="15" t="n">
        <x:v>257</x:v>
      </x:c>
      <x:c r="B262" s="15" t="str">
        <x:v>C19</x:v>
      </x:c>
      <x:c r="C262" s="15" t="str">
        <x:v>C03</x:v>
      </x:c>
      <x:c r="D262" s="15" t="str">
        <x:v>CareerProPlus / CareerPro Global</x:v>
      </x:c>
      <x:c r="E262" s="15" t="str">
        <x:v>TopStack Resume</x:v>
      </x:c>
      <x:c r="F262" s="34" t="n">
        <x:f>'Score Inputs'!L24</x:f>
        <x:v>77.5</x:v>
      </x:c>
      <x:c r="G262" s="34" t="n">
        <x:f>'Score Inputs'!L8</x:f>
        <x:v>76.75</x:v>
      </x:c>
      <x:c r="H262" s="34" t="n">
        <x:f>F262-G262</x:f>
        <x:v>0.75</x:v>
      </x:c>
      <x:c r="I262" s="15" t="str">
        <x:f>IF(F262=G262,"Tie",IF(F262&gt;G262,D262,E262))</x:f>
        <x:v>CareerProPlus / CareerPro Global</x:v>
      </x:c>
      <x:c r="J262" s="15" t="str">
        <x:f>IF(H262=0,"Exact score tie",IF(ABS(H262)&lt;2,"Close editorial call","Model preference"))</x:f>
        <x:v>Close editorial call</x:v>
      </x:c>
      <x:c r="K262" s="15" t="str">
        <x:v>S010 S011 S012 S013 S089 S090 S091 S092 S108</x:v>
      </x:c>
    </x:row>
    <x:row r="263" ht="64" customHeight="1">
      <x:c r="A263" s="15" t="n">
        <x:v>258</x:v>
      </x:c>
      <x:c r="B263" s="15" t="str">
        <x:v>C19</x:v>
      </x:c>
      <x:c r="C263" s="15" t="str">
        <x:v>C08</x:v>
      </x:c>
      <x:c r="D263" s="15" t="str">
        <x:v>CareerProPlus / CareerPro Global</x:v>
      </x:c>
      <x:c r="E263" s="15" t="str">
        <x:v>The Resume Place</x:v>
      </x:c>
      <x:c r="F263" s="34" t="n">
        <x:f>'Score Inputs'!L24</x:f>
        <x:v>77.5</x:v>
      </x:c>
      <x:c r="G263" s="34" t="n">
        <x:f>'Score Inputs'!L13</x:f>
        <x:v>76.75</x:v>
      </x:c>
      <x:c r="H263" s="34" t="n">
        <x:f>F263-G263</x:f>
        <x:v>0.75</x:v>
      </x:c>
      <x:c r="I263" s="15" t="str">
        <x:f>IF(F263=G263,"Tie",IF(F263&gt;G263,D263,E263))</x:f>
        <x:v>CareerProPlus / CareerPro Global</x:v>
      </x:c>
      <x:c r="J263" s="15" t="str">
        <x:f>IF(H263=0,"Exact score tie",IF(ABS(H263)&lt;2,"Close editorial call","Model preference"))</x:f>
        <x:v>Close editorial call</x:v>
      </x:c>
      <x:c r="K263" s="15" t="str">
        <x:v>S037 S038 S039 S040 S066 S089 S090 S091 S092</x:v>
      </x:c>
    </x:row>
    <x:row r="264" ht="64" customHeight="1">
      <x:c r="A264" s="15" t="n">
        <x:v>259</x:v>
      </x:c>
      <x:c r="B264" s="15" t="str">
        <x:v>C19</x:v>
      </x:c>
      <x:c r="C264" s="15" t="str">
        <x:v>C23</x:v>
      </x:c>
      <x:c r="D264" s="15" t="str">
        <x:v>CareerProPlus / CareerPro Global</x:v>
      </x:c>
      <x:c r="E264" s="15" t="str">
        <x:v>Klaxos</x:v>
      </x:c>
      <x:c r="F264" s="34" t="n">
        <x:f>'Score Inputs'!L24</x:f>
        <x:v>77.5</x:v>
      </x:c>
      <x:c r="G264" s="34" t="n">
        <x:f>'Score Inputs'!L28</x:f>
        <x:v>75.75</x:v>
      </x:c>
      <x:c r="H264" s="34" t="n">
        <x:f>F264-G264</x:f>
        <x:v>1.75</x:v>
      </x:c>
      <x:c r="I264" s="15" t="str">
        <x:f>IF(F264=G264,"Tie",IF(F264&gt;G264,D264,E264))</x:f>
        <x:v>CareerProPlus / CareerPro Global</x:v>
      </x:c>
      <x:c r="J264" s="15" t="str">
        <x:f>IF(H264=0,"Exact score tie",IF(ABS(H264)&lt;2,"Close editorial call","Model preference"))</x:f>
        <x:v>Close editorial call</x:v>
      </x:c>
      <x:c r="K264" s="15" t="str">
        <x:v>S089 S090 S091 S092 S099 S100 S101</x:v>
      </x:c>
    </x:row>
    <x:row r="265" ht="64" customHeight="1">
      <x:c r="A265" s="15" t="n">
        <x:v>260</x:v>
      </x:c>
      <x:c r="B265" s="15" t="str">
        <x:v>C19</x:v>
      </x:c>
      <x:c r="C265" s="15" t="str">
        <x:v>C04</x:v>
      </x:c>
      <x:c r="D265" s="15" t="str">
        <x:v>CareerProPlus / CareerPro Global</x:v>
      </x:c>
      <x:c r="E265" s="15" t="str">
        <x:v>Resumeble</x:v>
      </x:c>
      <x:c r="F265" s="34" t="n">
        <x:f>'Score Inputs'!L24</x:f>
        <x:v>77.5</x:v>
      </x:c>
      <x:c r="G265" s="34" t="n">
        <x:f>'Score Inputs'!L9</x:f>
        <x:v>74.5</x:v>
      </x:c>
      <x:c r="H265" s="34" t="n">
        <x:f>F265-G265</x:f>
        <x:v>3</x:v>
      </x:c>
      <x:c r="I265" s="15" t="str">
        <x:f>IF(F265=G265,"Tie",IF(F265&gt;G265,D265,E265))</x:f>
        <x:v>CareerProPlus / CareerPro Global</x:v>
      </x:c>
      <x:c r="J265" s="15" t="str">
        <x:f>IF(H265=0,"Exact score tie",IF(ABS(H265)&lt;2,"Close editorial call","Model preference"))</x:f>
        <x:v>Model preference</x:v>
      </x:c>
      <x:c r="K265" s="15" t="str">
        <x:v>S014 S015 S016 S017 S018 S019 S089 S090 S091 S092</x:v>
      </x:c>
    </x:row>
    <x:row r="266" ht="64" customHeight="1">
      <x:c r="A266" s="15" t="n">
        <x:v>261</x:v>
      </x:c>
      <x:c r="B266" s="15" t="str">
        <x:v>C19</x:v>
      </x:c>
      <x:c r="C266" s="15" t="str">
        <x:v>C16</x:v>
      </x:c>
      <x:c r="D266" s="15" t="str">
        <x:v>CareerProPlus / CareerPro Global</x:v>
      </x:c>
      <x:c r="E266" s="15" t="str">
        <x:v>Resume Target</x:v>
      </x:c>
      <x:c r="F266" s="34" t="n">
        <x:f>'Score Inputs'!L24</x:f>
        <x:v>77.5</x:v>
      </x:c>
      <x:c r="G266" s="34" t="n">
        <x:f>'Score Inputs'!L21</x:f>
        <x:v>74.5</x:v>
      </x:c>
      <x:c r="H266" s="34" t="n">
        <x:f>F266-G266</x:f>
        <x:v>3</x:v>
      </x:c>
      <x:c r="I266" s="15" t="str">
        <x:f>IF(F266=G266,"Tie",IF(F266&gt;G266,D266,E266))</x:f>
        <x:v>CareerProPlus / CareerPro Global</x:v>
      </x:c>
      <x:c r="J266" s="15" t="str">
        <x:f>IF(H266=0,"Exact score tie",IF(ABS(H266)&lt;2,"Close editorial call","Model preference"))</x:f>
        <x:v>Model preference</x:v>
      </x:c>
      <x:c r="K266" s="15" t="str">
        <x:v>S075 S076 S077 S078 S089 S090 S091 S092</x:v>
      </x:c>
    </x:row>
    <x:row r="267" ht="64" customHeight="1">
      <x:c r="A267" s="15" t="n">
        <x:v>262</x:v>
      </x:c>
      <x:c r="B267" s="15" t="str">
        <x:v>C19</x:v>
      </x:c>
      <x:c r="C267" s="15" t="str">
        <x:v>C11</x:v>
      </x:c>
      <x:c r="D267" s="15" t="str">
        <x:v>CareerProPlus / CareerPro Global</x:v>
      </x:c>
      <x:c r="E267" s="15" t="str">
        <x:v>Resume Professional Writers</x:v>
      </x:c>
      <x:c r="F267" s="34" t="n">
        <x:f>'Score Inputs'!L24</x:f>
        <x:v>77.5</x:v>
      </x:c>
      <x:c r="G267" s="34" t="n">
        <x:f>'Score Inputs'!L16</x:f>
        <x:v>65.75</x:v>
      </x:c>
      <x:c r="H267" s="34" t="n">
        <x:f>F267-G267</x:f>
        <x:v>11.75</x:v>
      </x:c>
      <x:c r="I267" s="15" t="str">
        <x:f>IF(F267=G267,"Tie",IF(F267&gt;G267,D267,E267))</x:f>
        <x:v>CareerProPlus / CareerPro Global</x:v>
      </x:c>
      <x:c r="J267" s="15" t="str">
        <x:f>IF(H267=0,"Exact score tie",IF(ABS(H267)&lt;2,"Close editorial call","Model preference"))</x:f>
        <x:v>Model preference</x:v>
      </x:c>
      <x:c r="K267" s="15" t="str">
        <x:v>S051 S052 S053 S054 S089 S090 S091 S092</x:v>
      </x:c>
    </x:row>
    <x:row r="268" ht="64" customHeight="1">
      <x:c r="A268" s="15" t="n">
        <x:v>263</x:v>
      </x:c>
      <x:c r="B268" s="15" t="str">
        <x:v>C19</x:v>
      </x:c>
      <x:c r="C268" s="15" t="str">
        <x:v>C07</x:v>
      </x:c>
      <x:c r="D268" s="15" t="str">
        <x:v>CareerProPlus / CareerPro Global</x:v>
      </x:c>
      <x:c r="E268" s="15" t="str">
        <x:v>TopResume</x:v>
      </x:c>
      <x:c r="F268" s="34" t="n">
        <x:f>'Score Inputs'!L24</x:f>
        <x:v>77.5</x:v>
      </x:c>
      <x:c r="G268" s="34" t="n">
        <x:f>'Score Inputs'!L12</x:f>
        <x:v>62.75</x:v>
      </x:c>
      <x:c r="H268" s="34" t="n">
        <x:f>F268-G268</x:f>
        <x:v>14.75</x:v>
      </x:c>
      <x:c r="I268" s="15" t="str">
        <x:f>IF(F268=G268,"Tie",IF(F268&gt;G268,D268,E268))</x:f>
        <x:v>CareerProPlus / CareerPro Global</x:v>
      </x:c>
      <x:c r="J268" s="15" t="str">
        <x:f>IF(H268=0,"Exact score tie",IF(ABS(H268)&lt;2,"Close editorial call","Model preference"))</x:f>
        <x:v>Model preference</x:v>
      </x:c>
      <x:c r="K268" s="15" t="str">
        <x:v>S029 S030 S031 S032 S034 S035 S036 S089 S090 S091 S092</x:v>
      </x:c>
    </x:row>
    <x:row r="269" ht="64" customHeight="1">
      <x:c r="A269" s="15" t="n">
        <x:v>264</x:v>
      </x:c>
      <x:c r="B269" s="15" t="str">
        <x:v>C19</x:v>
      </x:c>
      <x:c r="C269" s="15" t="str">
        <x:v>C14</x:v>
      </x:c>
      <x:c r="D269" s="15" t="str">
        <x:v>CareerProPlus / CareerPro Global</x:v>
      </x:c>
      <x:c r="E269" s="15" t="str">
        <x:v>Resume Writing Group</x:v>
      </x:c>
      <x:c r="F269" s="34" t="n">
        <x:f>'Score Inputs'!L24</x:f>
        <x:v>77.5</x:v>
      </x:c>
      <x:c r="G269" s="34" t="n">
        <x:f>'Score Inputs'!L19</x:f>
        <x:v>59.75</x:v>
      </x:c>
      <x:c r="H269" s="34" t="n">
        <x:f>F269-G269</x:f>
        <x:v>17.75</x:v>
      </x:c>
      <x:c r="I269" s="15" t="str">
        <x:f>IF(F269=G269,"Tie",IF(F269&gt;G269,D269,E269))</x:f>
        <x:v>CareerProPlus / CareerPro Global</x:v>
      </x:c>
      <x:c r="J269" s="15" t="str">
        <x:f>IF(H269=0,"Exact score tie",IF(ABS(H269)&lt;2,"Close editorial call","Model preference"))</x:f>
        <x:v>Model preference</x:v>
      </x:c>
      <x:c r="K269" s="15" t="str">
        <x:v>S067 S068 S069 S070 S089 S090 S091 S092</x:v>
      </x:c>
    </x:row>
    <x:row r="270" ht="64" customHeight="1">
      <x:c r="A270" s="15" t="n">
        <x:v>265</x:v>
      </x:c>
      <x:c r="B270" s="15" t="str">
        <x:v>C24</x:v>
      </x:c>
      <x:c r="C270" s="15" t="str">
        <x:v>C03</x:v>
      </x:c>
      <x:c r="D270" s="15" t="str">
        <x:v>Scientech Resumes / Scientech Career Systems</x:v>
      </x:c>
      <x:c r="E270" s="15" t="str">
        <x:v>TopStack Resume</x:v>
      </x:c>
      <x:c r="F270" s="34" t="n">
        <x:f>'Score Inputs'!L29</x:f>
        <x:v>77.25</x:v>
      </x:c>
      <x:c r="G270" s="34" t="n">
        <x:f>'Score Inputs'!L8</x:f>
        <x:v>76.75</x:v>
      </x:c>
      <x:c r="H270" s="34" t="n">
        <x:f>F270-G270</x:f>
        <x:v>0.5</x:v>
      </x:c>
      <x:c r="I270" s="15" t="str">
        <x:f>IF(F270=G270,"Tie",IF(F270&gt;G270,D270,E270))</x:f>
        <x:v>Scientech Resumes / Scientech Career Systems</x:v>
      </x:c>
      <x:c r="J270" s="15" t="str">
        <x:f>IF(H270=0,"Exact score tie",IF(ABS(H270)&lt;2,"Close editorial call","Model preference"))</x:f>
        <x:v>Close editorial call</x:v>
      </x:c>
      <x:c r="K270" s="15" t="str">
        <x:v>S010 S011 S012 S013 S102 S104 S108 S113 S114</x:v>
      </x:c>
    </x:row>
    <x:row r="271" ht="64" customHeight="1">
      <x:c r="A271" s="15" t="n">
        <x:v>266</x:v>
      </x:c>
      <x:c r="B271" s="15" t="str">
        <x:v>C24</x:v>
      </x:c>
      <x:c r="C271" s="15" t="str">
        <x:v>C08</x:v>
      </x:c>
      <x:c r="D271" s="15" t="str">
        <x:v>Scientech Resumes / Scientech Career Systems</x:v>
      </x:c>
      <x:c r="E271" s="15" t="str">
        <x:v>The Resume Place</x:v>
      </x:c>
      <x:c r="F271" s="34" t="n">
        <x:f>'Score Inputs'!L29</x:f>
        <x:v>77.25</x:v>
      </x:c>
      <x:c r="G271" s="34" t="n">
        <x:f>'Score Inputs'!L13</x:f>
        <x:v>76.75</x:v>
      </x:c>
      <x:c r="H271" s="34" t="n">
        <x:f>F271-G271</x:f>
        <x:v>0.5</x:v>
      </x:c>
      <x:c r="I271" s="15" t="str">
        <x:f>IF(F271=G271,"Tie",IF(F271&gt;G271,D271,E271))</x:f>
        <x:v>Scientech Resumes / Scientech Career Systems</x:v>
      </x:c>
      <x:c r="J271" s="15" t="str">
        <x:f>IF(H271=0,"Exact score tie",IF(ABS(H271)&lt;2,"Close editorial call","Model preference"))</x:f>
        <x:v>Close editorial call</x:v>
      </x:c>
      <x:c r="K271" s="15" t="str">
        <x:v>S037 S038 S039 S040 S066 S102 S104 S113 S114</x:v>
      </x:c>
    </x:row>
    <x:row r="272" ht="64" customHeight="1">
      <x:c r="A272" s="15" t="n">
        <x:v>267</x:v>
      </x:c>
      <x:c r="B272" s="15" t="str">
        <x:v>C24</x:v>
      </x:c>
      <x:c r="C272" s="15" t="str">
        <x:v>C23</x:v>
      </x:c>
      <x:c r="D272" s="15" t="str">
        <x:v>Scientech Resumes / Scientech Career Systems</x:v>
      </x:c>
      <x:c r="E272" s="15" t="str">
        <x:v>Klaxos</x:v>
      </x:c>
      <x:c r="F272" s="34" t="n">
        <x:f>'Score Inputs'!L29</x:f>
        <x:v>77.25</x:v>
      </x:c>
      <x:c r="G272" s="34" t="n">
        <x:f>'Score Inputs'!L28</x:f>
        <x:v>75.75</x:v>
      </x:c>
      <x:c r="H272" s="34" t="n">
        <x:f>F272-G272</x:f>
        <x:v>1.5</x:v>
      </x:c>
      <x:c r="I272" s="15" t="str">
        <x:f>IF(F272=G272,"Tie",IF(F272&gt;G272,D272,E272))</x:f>
        <x:v>Scientech Resumes / Scientech Career Systems</x:v>
      </x:c>
      <x:c r="J272" s="15" t="str">
        <x:f>IF(H272=0,"Exact score tie",IF(ABS(H272)&lt;2,"Close editorial call","Model preference"))</x:f>
        <x:v>Close editorial call</x:v>
      </x:c>
      <x:c r="K272" s="15" t="str">
        <x:v>S099 S100 S101 S102 S104 S113 S114</x:v>
      </x:c>
    </x:row>
    <x:row r="273" ht="64" customHeight="1">
      <x:c r="A273" s="15" t="n">
        <x:v>268</x:v>
      </x:c>
      <x:c r="B273" s="15" t="str">
        <x:v>C24</x:v>
      </x:c>
      <x:c r="C273" s="15" t="str">
        <x:v>C04</x:v>
      </x:c>
      <x:c r="D273" s="15" t="str">
        <x:v>Scientech Resumes / Scientech Career Systems</x:v>
      </x:c>
      <x:c r="E273" s="15" t="str">
        <x:v>Resumeble</x:v>
      </x:c>
      <x:c r="F273" s="34" t="n">
        <x:f>'Score Inputs'!L29</x:f>
        <x:v>77.25</x:v>
      </x:c>
      <x:c r="G273" s="34" t="n">
        <x:f>'Score Inputs'!L9</x:f>
        <x:v>74.5</x:v>
      </x:c>
      <x:c r="H273" s="34" t="n">
        <x:f>F273-G273</x:f>
        <x:v>2.75</x:v>
      </x:c>
      <x:c r="I273" s="15" t="str">
        <x:f>IF(F273=G273,"Tie",IF(F273&gt;G273,D273,E273))</x:f>
        <x:v>Scientech Resumes / Scientech Career Systems</x:v>
      </x:c>
      <x:c r="J273" s="15" t="str">
        <x:f>IF(H273=0,"Exact score tie",IF(ABS(H273)&lt;2,"Close editorial call","Model preference"))</x:f>
        <x:v>Model preference</x:v>
      </x:c>
      <x:c r="K273" s="15" t="str">
        <x:v>S014 S015 S016 S017 S018 S019 S102 S104 S113 S114</x:v>
      </x:c>
    </x:row>
    <x:row r="274" ht="64" customHeight="1">
      <x:c r="A274" s="15" t="n">
        <x:v>269</x:v>
      </x:c>
      <x:c r="B274" s="15" t="str">
        <x:v>C24</x:v>
      </x:c>
      <x:c r="C274" s="15" t="str">
        <x:v>C16</x:v>
      </x:c>
      <x:c r="D274" s="15" t="str">
        <x:v>Scientech Resumes / Scientech Career Systems</x:v>
      </x:c>
      <x:c r="E274" s="15" t="str">
        <x:v>Resume Target</x:v>
      </x:c>
      <x:c r="F274" s="34" t="n">
        <x:f>'Score Inputs'!L29</x:f>
        <x:v>77.25</x:v>
      </x:c>
      <x:c r="G274" s="34" t="n">
        <x:f>'Score Inputs'!L21</x:f>
        <x:v>74.5</x:v>
      </x:c>
      <x:c r="H274" s="34" t="n">
        <x:f>F274-G274</x:f>
        <x:v>2.75</x:v>
      </x:c>
      <x:c r="I274" s="15" t="str">
        <x:f>IF(F274=G274,"Tie",IF(F274&gt;G274,D274,E274))</x:f>
        <x:v>Scientech Resumes / Scientech Career Systems</x:v>
      </x:c>
      <x:c r="J274" s="15" t="str">
        <x:f>IF(H274=0,"Exact score tie",IF(ABS(H274)&lt;2,"Close editorial call","Model preference"))</x:f>
        <x:v>Model preference</x:v>
      </x:c>
      <x:c r="K274" s="15" t="str">
        <x:v>S075 S076 S077 S078 S102 S104 S113 S114</x:v>
      </x:c>
    </x:row>
    <x:row r="275" ht="64" customHeight="1">
      <x:c r="A275" s="15" t="n">
        <x:v>270</x:v>
      </x:c>
      <x:c r="B275" s="15" t="str">
        <x:v>C24</x:v>
      </x:c>
      <x:c r="C275" s="15" t="str">
        <x:v>C11</x:v>
      </x:c>
      <x:c r="D275" s="15" t="str">
        <x:v>Scientech Resumes / Scientech Career Systems</x:v>
      </x:c>
      <x:c r="E275" s="15" t="str">
        <x:v>Resume Professional Writers</x:v>
      </x:c>
      <x:c r="F275" s="34" t="n">
        <x:f>'Score Inputs'!L29</x:f>
        <x:v>77.25</x:v>
      </x:c>
      <x:c r="G275" s="34" t="n">
        <x:f>'Score Inputs'!L16</x:f>
        <x:v>65.75</x:v>
      </x:c>
      <x:c r="H275" s="34" t="n">
        <x:f>F275-G275</x:f>
        <x:v>11.5</x:v>
      </x:c>
      <x:c r="I275" s="15" t="str">
        <x:f>IF(F275=G275,"Tie",IF(F275&gt;G275,D275,E275))</x:f>
        <x:v>Scientech Resumes / Scientech Career Systems</x:v>
      </x:c>
      <x:c r="J275" s="15" t="str">
        <x:f>IF(H275=0,"Exact score tie",IF(ABS(H275)&lt;2,"Close editorial call","Model preference"))</x:f>
        <x:v>Model preference</x:v>
      </x:c>
      <x:c r="K275" s="15" t="str">
        <x:v>S051 S052 S053 S054 S102 S104 S113 S114</x:v>
      </x:c>
    </x:row>
    <x:row r="276" ht="64" customHeight="1">
      <x:c r="A276" s="15" t="n">
        <x:v>271</x:v>
      </x:c>
      <x:c r="B276" s="15" t="str">
        <x:v>C24</x:v>
      </x:c>
      <x:c r="C276" s="15" t="str">
        <x:v>C07</x:v>
      </x:c>
      <x:c r="D276" s="15" t="str">
        <x:v>Scientech Resumes / Scientech Career Systems</x:v>
      </x:c>
      <x:c r="E276" s="15" t="str">
        <x:v>TopResume</x:v>
      </x:c>
      <x:c r="F276" s="34" t="n">
        <x:f>'Score Inputs'!L29</x:f>
        <x:v>77.25</x:v>
      </x:c>
      <x:c r="G276" s="34" t="n">
        <x:f>'Score Inputs'!L12</x:f>
        <x:v>62.75</x:v>
      </x:c>
      <x:c r="H276" s="34" t="n">
        <x:f>F276-G276</x:f>
        <x:v>14.5</x:v>
      </x:c>
      <x:c r="I276" s="15" t="str">
        <x:f>IF(F276=G276,"Tie",IF(F276&gt;G276,D276,E276))</x:f>
        <x:v>Scientech Resumes / Scientech Career Systems</x:v>
      </x:c>
      <x:c r="J276" s="15" t="str">
        <x:f>IF(H276=0,"Exact score tie",IF(ABS(H276)&lt;2,"Close editorial call","Model preference"))</x:f>
        <x:v>Model preference</x:v>
      </x:c>
      <x:c r="K276" s="15" t="str">
        <x:v>S029 S030 S031 S032 S034 S035 S036 S102 S104 S113 S114</x:v>
      </x:c>
    </x:row>
    <x:row r="277" ht="64" customHeight="1">
      <x:c r="A277" s="15" t="n">
        <x:v>272</x:v>
      </x:c>
      <x:c r="B277" s="15" t="str">
        <x:v>C24</x:v>
      </x:c>
      <x:c r="C277" s="15" t="str">
        <x:v>C14</x:v>
      </x:c>
      <x:c r="D277" s="15" t="str">
        <x:v>Scientech Resumes / Scientech Career Systems</x:v>
      </x:c>
      <x:c r="E277" s="15" t="str">
        <x:v>Resume Writing Group</x:v>
      </x:c>
      <x:c r="F277" s="34" t="n">
        <x:f>'Score Inputs'!L29</x:f>
        <x:v>77.25</x:v>
      </x:c>
      <x:c r="G277" s="34" t="n">
        <x:f>'Score Inputs'!L19</x:f>
        <x:v>59.75</x:v>
      </x:c>
      <x:c r="H277" s="34" t="n">
        <x:f>F277-G277</x:f>
        <x:v>17.5</x:v>
      </x:c>
      <x:c r="I277" s="15" t="str">
        <x:f>IF(F277=G277,"Tie",IF(F277&gt;G277,D277,E277))</x:f>
        <x:v>Scientech Resumes / Scientech Career Systems</x:v>
      </x:c>
      <x:c r="J277" s="15" t="str">
        <x:f>IF(H277=0,"Exact score tie",IF(ABS(H277)&lt;2,"Close editorial call","Model preference"))</x:f>
        <x:v>Model preference</x:v>
      </x:c>
      <x:c r="K277" s="15" t="str">
        <x:v>S067 S068 S069 S070 S102 S104 S113 S114</x:v>
      </x:c>
    </x:row>
    <x:row r="278" ht="64" customHeight="1">
      <x:c r="A278" s="15" t="n">
        <x:v>273</x:v>
      </x:c>
      <x:c r="B278" s="15" t="str">
        <x:v>C03</x:v>
      </x:c>
      <x:c r="C278" s="15" t="str">
        <x:v>C08</x:v>
      </x:c>
      <x:c r="D278" s="15" t="str">
        <x:v>TopStack Resume</x:v>
      </x:c>
      <x:c r="E278" s="15" t="str">
        <x:v>The Resume Place</x:v>
      </x:c>
      <x:c r="F278" s="34" t="n">
        <x:f>'Score Inputs'!L8</x:f>
        <x:v>76.75</x:v>
      </x:c>
      <x:c r="G278" s="34" t="n">
        <x:f>'Score Inputs'!L13</x:f>
        <x:v>76.75</x:v>
      </x:c>
      <x:c r="H278" s="34" t="n">
        <x:f>F278-G278</x:f>
        <x:v>0</x:v>
      </x:c>
      <x:c r="I278" s="15" t="str">
        <x:f>IF(F278=G278,"Tie",IF(F278&gt;G278,D278,E278))</x:f>
        <x:v>Tie</x:v>
      </x:c>
      <x:c r="J278" s="15" t="str">
        <x:f>IF(H278=0,"Exact score tie",IF(ABS(H278)&lt;2,"Close editorial call","Model preference"))</x:f>
        <x:v>Exact score tie</x:v>
      </x:c>
      <x:c r="K278" s="15" t="str">
        <x:v>S010 S011 S012 S013 S037 S038 S039 S040 S066 S108</x:v>
      </x:c>
    </x:row>
    <x:row r="279" ht="64" customHeight="1">
      <x:c r="A279" s="15" t="n">
        <x:v>274</x:v>
      </x:c>
      <x:c r="B279" s="15" t="str">
        <x:v>C03</x:v>
      </x:c>
      <x:c r="C279" s="15" t="str">
        <x:v>C23</x:v>
      </x:c>
      <x:c r="D279" s="15" t="str">
        <x:v>TopStack Resume</x:v>
      </x:c>
      <x:c r="E279" s="15" t="str">
        <x:v>Klaxos</x:v>
      </x:c>
      <x:c r="F279" s="34" t="n">
        <x:f>'Score Inputs'!L8</x:f>
        <x:v>76.75</x:v>
      </x:c>
      <x:c r="G279" s="34" t="n">
        <x:f>'Score Inputs'!L28</x:f>
        <x:v>75.75</x:v>
      </x:c>
      <x:c r="H279" s="34" t="n">
        <x:f>F279-G279</x:f>
        <x:v>1</x:v>
      </x:c>
      <x:c r="I279" s="15" t="str">
        <x:f>IF(F279=G279,"Tie",IF(F279&gt;G279,D279,E279))</x:f>
        <x:v>TopStack Resume</x:v>
      </x:c>
      <x:c r="J279" s="15" t="str">
        <x:f>IF(H279=0,"Exact score tie",IF(ABS(H279)&lt;2,"Close editorial call","Model preference"))</x:f>
        <x:v>Close editorial call</x:v>
      </x:c>
      <x:c r="K279" s="15" t="str">
        <x:v>S010 S011 S012 S013 S099 S100 S101 S108</x:v>
      </x:c>
    </x:row>
    <x:row r="280" ht="64" customHeight="1">
      <x:c r="A280" s="15" t="n">
        <x:v>275</x:v>
      </x:c>
      <x:c r="B280" s="15" t="str">
        <x:v>C03</x:v>
      </x:c>
      <x:c r="C280" s="15" t="str">
        <x:v>C04</x:v>
      </x:c>
      <x:c r="D280" s="15" t="str">
        <x:v>TopStack Resume</x:v>
      </x:c>
      <x:c r="E280" s="15" t="str">
        <x:v>Resumeble</x:v>
      </x:c>
      <x:c r="F280" s="34" t="n">
        <x:f>'Score Inputs'!L8</x:f>
        <x:v>76.75</x:v>
      </x:c>
      <x:c r="G280" s="34" t="n">
        <x:f>'Score Inputs'!L9</x:f>
        <x:v>74.5</x:v>
      </x:c>
      <x:c r="H280" s="34" t="n">
        <x:f>F280-G280</x:f>
        <x:v>2.25</x:v>
      </x:c>
      <x:c r="I280" s="15" t="str">
        <x:f>IF(F280=G280,"Tie",IF(F280&gt;G280,D280,E280))</x:f>
        <x:v>TopStack Resume</x:v>
      </x:c>
      <x:c r="J280" s="15" t="str">
        <x:f>IF(H280=0,"Exact score tie",IF(ABS(H280)&lt;2,"Close editorial call","Model preference"))</x:f>
        <x:v>Model preference</x:v>
      </x:c>
      <x:c r="K280" s="15" t="str">
        <x:v>S010 S011 S012 S013 S014 S015 S016 S017 S018 S019 S108</x:v>
      </x:c>
    </x:row>
    <x:row r="281" ht="64" customHeight="1">
      <x:c r="A281" s="15" t="n">
        <x:v>276</x:v>
      </x:c>
      <x:c r="B281" s="15" t="str">
        <x:v>C03</x:v>
      </x:c>
      <x:c r="C281" s="15" t="str">
        <x:v>C16</x:v>
      </x:c>
      <x:c r="D281" s="15" t="str">
        <x:v>TopStack Resume</x:v>
      </x:c>
      <x:c r="E281" s="15" t="str">
        <x:v>Resume Target</x:v>
      </x:c>
      <x:c r="F281" s="34" t="n">
        <x:f>'Score Inputs'!L8</x:f>
        <x:v>76.75</x:v>
      </x:c>
      <x:c r="G281" s="34" t="n">
        <x:f>'Score Inputs'!L21</x:f>
        <x:v>74.5</x:v>
      </x:c>
      <x:c r="H281" s="34" t="n">
        <x:f>F281-G281</x:f>
        <x:v>2.25</x:v>
      </x:c>
      <x:c r="I281" s="15" t="str">
        <x:f>IF(F281=G281,"Tie",IF(F281&gt;G281,D281,E281))</x:f>
        <x:v>TopStack Resume</x:v>
      </x:c>
      <x:c r="J281" s="15" t="str">
        <x:f>IF(H281=0,"Exact score tie",IF(ABS(H281)&lt;2,"Close editorial call","Model preference"))</x:f>
        <x:v>Model preference</x:v>
      </x:c>
      <x:c r="K281" s="15" t="str">
        <x:v>S010 S011 S012 S013 S075 S076 S077 S078 S108</x:v>
      </x:c>
    </x:row>
    <x:row r="282" ht="64" customHeight="1">
      <x:c r="A282" s="15" t="n">
        <x:v>277</x:v>
      </x:c>
      <x:c r="B282" s="15" t="str">
        <x:v>C03</x:v>
      </x:c>
      <x:c r="C282" s="15" t="str">
        <x:v>C11</x:v>
      </x:c>
      <x:c r="D282" s="15" t="str">
        <x:v>TopStack Resume</x:v>
      </x:c>
      <x:c r="E282" s="15" t="str">
        <x:v>Resume Professional Writers</x:v>
      </x:c>
      <x:c r="F282" s="34" t="n">
        <x:f>'Score Inputs'!L8</x:f>
        <x:v>76.75</x:v>
      </x:c>
      <x:c r="G282" s="34" t="n">
        <x:f>'Score Inputs'!L16</x:f>
        <x:v>65.75</x:v>
      </x:c>
      <x:c r="H282" s="34" t="n">
        <x:f>F282-G282</x:f>
        <x:v>11</x:v>
      </x:c>
      <x:c r="I282" s="15" t="str">
        <x:f>IF(F282=G282,"Tie",IF(F282&gt;G282,D282,E282))</x:f>
        <x:v>TopStack Resume</x:v>
      </x:c>
      <x:c r="J282" s="15" t="str">
        <x:f>IF(H282=0,"Exact score tie",IF(ABS(H282)&lt;2,"Close editorial call","Model preference"))</x:f>
        <x:v>Model preference</x:v>
      </x:c>
      <x:c r="K282" s="15" t="str">
        <x:v>S010 S011 S012 S013 S051 S052 S053 S054 S108</x:v>
      </x:c>
    </x:row>
    <x:row r="283" ht="64" customHeight="1">
      <x:c r="A283" s="15" t="n">
        <x:v>278</x:v>
      </x:c>
      <x:c r="B283" s="15" t="str">
        <x:v>C03</x:v>
      </x:c>
      <x:c r="C283" s="15" t="str">
        <x:v>C07</x:v>
      </x:c>
      <x:c r="D283" s="15" t="str">
        <x:v>TopStack Resume</x:v>
      </x:c>
      <x:c r="E283" s="15" t="str">
        <x:v>TopResume</x:v>
      </x:c>
      <x:c r="F283" s="34" t="n">
        <x:f>'Score Inputs'!L8</x:f>
        <x:v>76.75</x:v>
      </x:c>
      <x:c r="G283" s="34" t="n">
        <x:f>'Score Inputs'!L12</x:f>
        <x:v>62.75</x:v>
      </x:c>
      <x:c r="H283" s="34" t="n">
        <x:f>F283-G283</x:f>
        <x:v>14</x:v>
      </x:c>
      <x:c r="I283" s="15" t="str">
        <x:f>IF(F283=G283,"Tie",IF(F283&gt;G283,D283,E283))</x:f>
        <x:v>TopStack Resume</x:v>
      </x:c>
      <x:c r="J283" s="15" t="str">
        <x:f>IF(H283=0,"Exact score tie",IF(ABS(H283)&lt;2,"Close editorial call","Model preference"))</x:f>
        <x:v>Model preference</x:v>
      </x:c>
      <x:c r="K283" s="15" t="str">
        <x:v>S010 S011 S012 S013 S029 S030 S031 S032 S034 S035 S036 S108</x:v>
      </x:c>
    </x:row>
    <x:row r="284" ht="64" customHeight="1">
      <x:c r="A284" s="15" t="n">
        <x:v>279</x:v>
      </x:c>
      <x:c r="B284" s="15" t="str">
        <x:v>C03</x:v>
      </x:c>
      <x:c r="C284" s="15" t="str">
        <x:v>C14</x:v>
      </x:c>
      <x:c r="D284" s="15" t="str">
        <x:v>TopStack Resume</x:v>
      </x:c>
      <x:c r="E284" s="15" t="str">
        <x:v>Resume Writing Group</x:v>
      </x:c>
      <x:c r="F284" s="34" t="n">
        <x:f>'Score Inputs'!L8</x:f>
        <x:v>76.75</x:v>
      </x:c>
      <x:c r="G284" s="34" t="n">
        <x:f>'Score Inputs'!L19</x:f>
        <x:v>59.75</x:v>
      </x:c>
      <x:c r="H284" s="34" t="n">
        <x:f>F284-G284</x:f>
        <x:v>17</x:v>
      </x:c>
      <x:c r="I284" s="15" t="str">
        <x:f>IF(F284=G284,"Tie",IF(F284&gt;G284,D284,E284))</x:f>
        <x:v>TopStack Resume</x:v>
      </x:c>
      <x:c r="J284" s="15" t="str">
        <x:f>IF(H284=0,"Exact score tie",IF(ABS(H284)&lt;2,"Close editorial call","Model preference"))</x:f>
        <x:v>Model preference</x:v>
      </x:c>
      <x:c r="K284" s="15" t="str">
        <x:v>S010 S011 S012 S013 S067 S068 S069 S070 S108</x:v>
      </x:c>
    </x:row>
    <x:row r="285" ht="64" customHeight="1">
      <x:c r="A285" s="15" t="n">
        <x:v>280</x:v>
      </x:c>
      <x:c r="B285" s="15" t="str">
        <x:v>C08</x:v>
      </x:c>
      <x:c r="C285" s="15" t="str">
        <x:v>C23</x:v>
      </x:c>
      <x:c r="D285" s="15" t="str">
        <x:v>The Resume Place</x:v>
      </x:c>
      <x:c r="E285" s="15" t="str">
        <x:v>Klaxos</x:v>
      </x:c>
      <x:c r="F285" s="34" t="n">
        <x:f>'Score Inputs'!L13</x:f>
        <x:v>76.75</x:v>
      </x:c>
      <x:c r="G285" s="34" t="n">
        <x:f>'Score Inputs'!L28</x:f>
        <x:v>75.75</x:v>
      </x:c>
      <x:c r="H285" s="34" t="n">
        <x:f>F285-G285</x:f>
        <x:v>1</x:v>
      </x:c>
      <x:c r="I285" s="15" t="str">
        <x:f>IF(F285=G285,"Tie",IF(F285&gt;G285,D285,E285))</x:f>
        <x:v>The Resume Place</x:v>
      </x:c>
      <x:c r="J285" s="15" t="str">
        <x:f>IF(H285=0,"Exact score tie",IF(ABS(H285)&lt;2,"Close editorial call","Model preference"))</x:f>
        <x:v>Close editorial call</x:v>
      </x:c>
      <x:c r="K285" s="15" t="str">
        <x:v>S037 S038 S039 S040 S066 S099 S100 S101</x:v>
      </x:c>
    </x:row>
    <x:row r="286" ht="64" customHeight="1">
      <x:c r="A286" s="15" t="n">
        <x:v>281</x:v>
      </x:c>
      <x:c r="B286" s="15" t="str">
        <x:v>C08</x:v>
      </x:c>
      <x:c r="C286" s="15" t="str">
        <x:v>C04</x:v>
      </x:c>
      <x:c r="D286" s="15" t="str">
        <x:v>The Resume Place</x:v>
      </x:c>
      <x:c r="E286" s="15" t="str">
        <x:v>Resumeble</x:v>
      </x:c>
      <x:c r="F286" s="34" t="n">
        <x:f>'Score Inputs'!L13</x:f>
        <x:v>76.75</x:v>
      </x:c>
      <x:c r="G286" s="34" t="n">
        <x:f>'Score Inputs'!L9</x:f>
        <x:v>74.5</x:v>
      </x:c>
      <x:c r="H286" s="34" t="n">
        <x:f>F286-G286</x:f>
        <x:v>2.25</x:v>
      </x:c>
      <x:c r="I286" s="15" t="str">
        <x:f>IF(F286=G286,"Tie",IF(F286&gt;G286,D286,E286))</x:f>
        <x:v>The Resume Place</x:v>
      </x:c>
      <x:c r="J286" s="15" t="str">
        <x:f>IF(H286=0,"Exact score tie",IF(ABS(H286)&lt;2,"Close editorial call","Model preference"))</x:f>
        <x:v>Model preference</x:v>
      </x:c>
      <x:c r="K286" s="15" t="str">
        <x:v>S014 S015 S016 S017 S018 S019 S037 S038 S039 S040 S066</x:v>
      </x:c>
    </x:row>
    <x:row r="287" ht="64" customHeight="1">
      <x:c r="A287" s="15" t="n">
        <x:v>282</x:v>
      </x:c>
      <x:c r="B287" s="15" t="str">
        <x:v>C08</x:v>
      </x:c>
      <x:c r="C287" s="15" t="str">
        <x:v>C16</x:v>
      </x:c>
      <x:c r="D287" s="15" t="str">
        <x:v>The Resume Place</x:v>
      </x:c>
      <x:c r="E287" s="15" t="str">
        <x:v>Resume Target</x:v>
      </x:c>
      <x:c r="F287" s="34" t="n">
        <x:f>'Score Inputs'!L13</x:f>
        <x:v>76.75</x:v>
      </x:c>
      <x:c r="G287" s="34" t="n">
        <x:f>'Score Inputs'!L21</x:f>
        <x:v>74.5</x:v>
      </x:c>
      <x:c r="H287" s="34" t="n">
        <x:f>F287-G287</x:f>
        <x:v>2.25</x:v>
      </x:c>
      <x:c r="I287" s="15" t="str">
        <x:f>IF(F287=G287,"Tie",IF(F287&gt;G287,D287,E287))</x:f>
        <x:v>The Resume Place</x:v>
      </x:c>
      <x:c r="J287" s="15" t="str">
        <x:f>IF(H287=0,"Exact score tie",IF(ABS(H287)&lt;2,"Close editorial call","Model preference"))</x:f>
        <x:v>Model preference</x:v>
      </x:c>
      <x:c r="K287" s="15" t="str">
        <x:v>S037 S038 S039 S040 S066 S075 S076 S077 S078</x:v>
      </x:c>
    </x:row>
    <x:row r="288" ht="64" customHeight="1">
      <x:c r="A288" s="15" t="n">
        <x:v>283</x:v>
      </x:c>
      <x:c r="B288" s="15" t="str">
        <x:v>C08</x:v>
      </x:c>
      <x:c r="C288" s="15" t="str">
        <x:v>C11</x:v>
      </x:c>
      <x:c r="D288" s="15" t="str">
        <x:v>The Resume Place</x:v>
      </x:c>
      <x:c r="E288" s="15" t="str">
        <x:v>Resume Professional Writers</x:v>
      </x:c>
      <x:c r="F288" s="34" t="n">
        <x:f>'Score Inputs'!L13</x:f>
        <x:v>76.75</x:v>
      </x:c>
      <x:c r="G288" s="34" t="n">
        <x:f>'Score Inputs'!L16</x:f>
        <x:v>65.75</x:v>
      </x:c>
      <x:c r="H288" s="34" t="n">
        <x:f>F288-G288</x:f>
        <x:v>11</x:v>
      </x:c>
      <x:c r="I288" s="15" t="str">
        <x:f>IF(F288=G288,"Tie",IF(F288&gt;G288,D288,E288))</x:f>
        <x:v>The Resume Place</x:v>
      </x:c>
      <x:c r="J288" s="15" t="str">
        <x:f>IF(H288=0,"Exact score tie",IF(ABS(H288)&lt;2,"Close editorial call","Model preference"))</x:f>
        <x:v>Model preference</x:v>
      </x:c>
      <x:c r="K288" s="15" t="str">
        <x:v>S037 S038 S039 S040 S051 S052 S053 S054 S066</x:v>
      </x:c>
    </x:row>
    <x:row r="289" ht="64" customHeight="1">
      <x:c r="A289" s="15" t="n">
        <x:v>284</x:v>
      </x:c>
      <x:c r="B289" s="15" t="str">
        <x:v>C08</x:v>
      </x:c>
      <x:c r="C289" s="15" t="str">
        <x:v>C07</x:v>
      </x:c>
      <x:c r="D289" s="15" t="str">
        <x:v>The Resume Place</x:v>
      </x:c>
      <x:c r="E289" s="15" t="str">
        <x:v>TopResume</x:v>
      </x:c>
      <x:c r="F289" s="34" t="n">
        <x:f>'Score Inputs'!L13</x:f>
        <x:v>76.75</x:v>
      </x:c>
      <x:c r="G289" s="34" t="n">
        <x:f>'Score Inputs'!L12</x:f>
        <x:v>62.75</x:v>
      </x:c>
      <x:c r="H289" s="34" t="n">
        <x:f>F289-G289</x:f>
        <x:v>14</x:v>
      </x:c>
      <x:c r="I289" s="15" t="str">
        <x:f>IF(F289=G289,"Tie",IF(F289&gt;G289,D289,E289))</x:f>
        <x:v>The Resume Place</x:v>
      </x:c>
      <x:c r="J289" s="15" t="str">
        <x:f>IF(H289=0,"Exact score tie",IF(ABS(H289)&lt;2,"Close editorial call","Model preference"))</x:f>
        <x:v>Model preference</x:v>
      </x:c>
      <x:c r="K289" s="15" t="str">
        <x:v>S029 S030 S031 S032 S034 S035 S036 S037 S038 S039 S040 S066</x:v>
      </x:c>
    </x:row>
    <x:row r="290" ht="64" customHeight="1">
      <x:c r="A290" s="15" t="n">
        <x:v>285</x:v>
      </x:c>
      <x:c r="B290" s="15" t="str">
        <x:v>C08</x:v>
      </x:c>
      <x:c r="C290" s="15" t="str">
        <x:v>C14</x:v>
      </x:c>
      <x:c r="D290" s="15" t="str">
        <x:v>The Resume Place</x:v>
      </x:c>
      <x:c r="E290" s="15" t="str">
        <x:v>Resume Writing Group</x:v>
      </x:c>
      <x:c r="F290" s="34" t="n">
        <x:f>'Score Inputs'!L13</x:f>
        <x:v>76.75</x:v>
      </x:c>
      <x:c r="G290" s="34" t="n">
        <x:f>'Score Inputs'!L19</x:f>
        <x:v>59.75</x:v>
      </x:c>
      <x:c r="H290" s="34" t="n">
        <x:f>F290-G290</x:f>
        <x:v>17</x:v>
      </x:c>
      <x:c r="I290" s="15" t="str">
        <x:f>IF(F290=G290,"Tie",IF(F290&gt;G290,D290,E290))</x:f>
        <x:v>The Resume Place</x:v>
      </x:c>
      <x:c r="J290" s="15" t="str">
        <x:f>IF(H290=0,"Exact score tie",IF(ABS(H290)&lt;2,"Close editorial call","Model preference"))</x:f>
        <x:v>Model preference</x:v>
      </x:c>
      <x:c r="K290" s="15" t="str">
        <x:v>S037 S038 S039 S040 S066 S067 S068 S069 S070</x:v>
      </x:c>
    </x:row>
    <x:row r="291" ht="64" customHeight="1">
      <x:c r="A291" s="15" t="n">
        <x:v>286</x:v>
      </x:c>
      <x:c r="B291" s="15" t="str">
        <x:v>C23</x:v>
      </x:c>
      <x:c r="C291" s="15" t="str">
        <x:v>C04</x:v>
      </x:c>
      <x:c r="D291" s="15" t="str">
        <x:v>Klaxos</x:v>
      </x:c>
      <x:c r="E291" s="15" t="str">
        <x:v>Resumeble</x:v>
      </x:c>
      <x:c r="F291" s="34" t="n">
        <x:f>'Score Inputs'!L28</x:f>
        <x:v>75.75</x:v>
      </x:c>
      <x:c r="G291" s="34" t="n">
        <x:f>'Score Inputs'!L9</x:f>
        <x:v>74.5</x:v>
      </x:c>
      <x:c r="H291" s="34" t="n">
        <x:f>F291-G291</x:f>
        <x:v>1.25</x:v>
      </x:c>
      <x:c r="I291" s="15" t="str">
        <x:f>IF(F291=G291,"Tie",IF(F291&gt;G291,D291,E291))</x:f>
        <x:v>Klaxos</x:v>
      </x:c>
      <x:c r="J291" s="15" t="str">
        <x:f>IF(H291=0,"Exact score tie",IF(ABS(H291)&lt;2,"Close editorial call","Model preference"))</x:f>
        <x:v>Close editorial call</x:v>
      </x:c>
      <x:c r="K291" s="15" t="str">
        <x:v>S014 S015 S016 S017 S018 S019 S099 S100 S101</x:v>
      </x:c>
    </x:row>
    <x:row r="292" ht="64" customHeight="1">
      <x:c r="A292" s="15" t="n">
        <x:v>287</x:v>
      </x:c>
      <x:c r="B292" s="15" t="str">
        <x:v>C23</x:v>
      </x:c>
      <x:c r="C292" s="15" t="str">
        <x:v>C16</x:v>
      </x:c>
      <x:c r="D292" s="15" t="str">
        <x:v>Klaxos</x:v>
      </x:c>
      <x:c r="E292" s="15" t="str">
        <x:v>Resume Target</x:v>
      </x:c>
      <x:c r="F292" s="34" t="n">
        <x:f>'Score Inputs'!L28</x:f>
        <x:v>75.75</x:v>
      </x:c>
      <x:c r="G292" s="34" t="n">
        <x:f>'Score Inputs'!L21</x:f>
        <x:v>74.5</x:v>
      </x:c>
      <x:c r="H292" s="34" t="n">
        <x:f>F292-G292</x:f>
        <x:v>1.25</x:v>
      </x:c>
      <x:c r="I292" s="15" t="str">
        <x:f>IF(F292=G292,"Tie",IF(F292&gt;G292,D292,E292))</x:f>
        <x:v>Klaxos</x:v>
      </x:c>
      <x:c r="J292" s="15" t="str">
        <x:f>IF(H292=0,"Exact score tie",IF(ABS(H292)&lt;2,"Close editorial call","Model preference"))</x:f>
        <x:v>Close editorial call</x:v>
      </x:c>
      <x:c r="K292" s="15" t="str">
        <x:v>S075 S076 S077 S078 S099 S100 S101</x:v>
      </x:c>
    </x:row>
    <x:row r="293" ht="64" customHeight="1">
      <x:c r="A293" s="15" t="n">
        <x:v>288</x:v>
      </x:c>
      <x:c r="B293" s="15" t="str">
        <x:v>C23</x:v>
      </x:c>
      <x:c r="C293" s="15" t="str">
        <x:v>C11</x:v>
      </x:c>
      <x:c r="D293" s="15" t="str">
        <x:v>Klaxos</x:v>
      </x:c>
      <x:c r="E293" s="15" t="str">
        <x:v>Resume Professional Writers</x:v>
      </x:c>
      <x:c r="F293" s="34" t="n">
        <x:f>'Score Inputs'!L28</x:f>
        <x:v>75.75</x:v>
      </x:c>
      <x:c r="G293" s="34" t="n">
        <x:f>'Score Inputs'!L16</x:f>
        <x:v>65.75</x:v>
      </x:c>
      <x:c r="H293" s="34" t="n">
        <x:f>F293-G293</x:f>
        <x:v>10</x:v>
      </x:c>
      <x:c r="I293" s="15" t="str">
        <x:f>IF(F293=G293,"Tie",IF(F293&gt;G293,D293,E293))</x:f>
        <x:v>Klaxos</x:v>
      </x:c>
      <x:c r="J293" s="15" t="str">
        <x:f>IF(H293=0,"Exact score tie",IF(ABS(H293)&lt;2,"Close editorial call","Model preference"))</x:f>
        <x:v>Model preference</x:v>
      </x:c>
      <x:c r="K293" s="15" t="str">
        <x:v>S051 S052 S053 S054 S099 S100 S101</x:v>
      </x:c>
    </x:row>
    <x:row r="294" ht="64" customHeight="1">
      <x:c r="A294" s="15" t="n">
        <x:v>289</x:v>
      </x:c>
      <x:c r="B294" s="15" t="str">
        <x:v>C23</x:v>
      </x:c>
      <x:c r="C294" s="15" t="str">
        <x:v>C07</x:v>
      </x:c>
      <x:c r="D294" s="15" t="str">
        <x:v>Klaxos</x:v>
      </x:c>
      <x:c r="E294" s="15" t="str">
        <x:v>TopResume</x:v>
      </x:c>
      <x:c r="F294" s="34" t="n">
        <x:f>'Score Inputs'!L28</x:f>
        <x:v>75.75</x:v>
      </x:c>
      <x:c r="G294" s="34" t="n">
        <x:f>'Score Inputs'!L12</x:f>
        <x:v>62.75</x:v>
      </x:c>
      <x:c r="H294" s="34" t="n">
        <x:f>F294-G294</x:f>
        <x:v>13</x:v>
      </x:c>
      <x:c r="I294" s="15" t="str">
        <x:f>IF(F294=G294,"Tie",IF(F294&gt;G294,D294,E294))</x:f>
        <x:v>Klaxos</x:v>
      </x:c>
      <x:c r="J294" s="15" t="str">
        <x:f>IF(H294=0,"Exact score tie",IF(ABS(H294)&lt;2,"Close editorial call","Model preference"))</x:f>
        <x:v>Model preference</x:v>
      </x:c>
      <x:c r="K294" s="15" t="str">
        <x:v>S029 S030 S031 S032 S034 S035 S036 S099 S100 S101</x:v>
      </x:c>
    </x:row>
    <x:row r="295" ht="64" customHeight="1">
      <x:c r="A295" s="15" t="n">
        <x:v>290</x:v>
      </x:c>
      <x:c r="B295" s="15" t="str">
        <x:v>C23</x:v>
      </x:c>
      <x:c r="C295" s="15" t="str">
        <x:v>C14</x:v>
      </x:c>
      <x:c r="D295" s="15" t="str">
        <x:v>Klaxos</x:v>
      </x:c>
      <x:c r="E295" s="15" t="str">
        <x:v>Resume Writing Group</x:v>
      </x:c>
      <x:c r="F295" s="34" t="n">
        <x:f>'Score Inputs'!L28</x:f>
        <x:v>75.75</x:v>
      </x:c>
      <x:c r="G295" s="34" t="n">
        <x:f>'Score Inputs'!L19</x:f>
        <x:v>59.75</x:v>
      </x:c>
      <x:c r="H295" s="34" t="n">
        <x:f>F295-G295</x:f>
        <x:v>16</x:v>
      </x:c>
      <x:c r="I295" s="15" t="str">
        <x:f>IF(F295=G295,"Tie",IF(F295&gt;G295,D295,E295))</x:f>
        <x:v>Klaxos</x:v>
      </x:c>
      <x:c r="J295" s="15" t="str">
        <x:f>IF(H295=0,"Exact score tie",IF(ABS(H295)&lt;2,"Close editorial call","Model preference"))</x:f>
        <x:v>Model preference</x:v>
      </x:c>
      <x:c r="K295" s="15" t="str">
        <x:v>S067 S068 S069 S070 S099 S100 S101</x:v>
      </x:c>
    </x:row>
    <x:row r="296" ht="64" customHeight="1">
      <x:c r="A296" s="15" t="n">
        <x:v>291</x:v>
      </x:c>
      <x:c r="B296" s="15" t="str">
        <x:v>C04</x:v>
      </x:c>
      <x:c r="C296" s="15" t="str">
        <x:v>C16</x:v>
      </x:c>
      <x:c r="D296" s="15" t="str">
        <x:v>Resumeble</x:v>
      </x:c>
      <x:c r="E296" s="15" t="str">
        <x:v>Resume Target</x:v>
      </x:c>
      <x:c r="F296" s="34" t="n">
        <x:f>'Score Inputs'!L9</x:f>
        <x:v>74.5</x:v>
      </x:c>
      <x:c r="G296" s="34" t="n">
        <x:f>'Score Inputs'!L21</x:f>
        <x:v>74.5</x:v>
      </x:c>
      <x:c r="H296" s="34" t="n">
        <x:f>F296-G296</x:f>
        <x:v>0</x:v>
      </x:c>
      <x:c r="I296" s="15" t="str">
        <x:f>IF(F296=G296,"Tie",IF(F296&gt;G296,D296,E296))</x:f>
        <x:v>Tie</x:v>
      </x:c>
      <x:c r="J296" s="15" t="str">
        <x:f>IF(H296=0,"Exact score tie",IF(ABS(H296)&lt;2,"Close editorial call","Model preference"))</x:f>
        <x:v>Exact score tie</x:v>
      </x:c>
      <x:c r="K296" s="15" t="str">
        <x:v>S014 S015 S016 S017 S018 S019 S075 S076 S077 S078</x:v>
      </x:c>
    </x:row>
    <x:row r="297" ht="64" customHeight="1">
      <x:c r="A297" s="15" t="n">
        <x:v>292</x:v>
      </x:c>
      <x:c r="B297" s="15" t="str">
        <x:v>C04</x:v>
      </x:c>
      <x:c r="C297" s="15" t="str">
        <x:v>C11</x:v>
      </x:c>
      <x:c r="D297" s="15" t="str">
        <x:v>Resumeble</x:v>
      </x:c>
      <x:c r="E297" s="15" t="str">
        <x:v>Resume Professional Writers</x:v>
      </x:c>
      <x:c r="F297" s="34" t="n">
        <x:f>'Score Inputs'!L9</x:f>
        <x:v>74.5</x:v>
      </x:c>
      <x:c r="G297" s="34" t="n">
        <x:f>'Score Inputs'!L16</x:f>
        <x:v>65.75</x:v>
      </x:c>
      <x:c r="H297" s="34" t="n">
        <x:f>F297-G297</x:f>
        <x:v>8.75</x:v>
      </x:c>
      <x:c r="I297" s="15" t="str">
        <x:f>IF(F297=G297,"Tie",IF(F297&gt;G297,D297,E297))</x:f>
        <x:v>Resumeble</x:v>
      </x:c>
      <x:c r="J297" s="15" t="str">
        <x:f>IF(H297=0,"Exact score tie",IF(ABS(H297)&lt;2,"Close editorial call","Model preference"))</x:f>
        <x:v>Model preference</x:v>
      </x:c>
      <x:c r="K297" s="15" t="str">
        <x:v>S014 S015 S016 S017 S018 S019 S051 S052 S053 S054</x:v>
      </x:c>
    </x:row>
    <x:row r="298" ht="64" customHeight="1">
      <x:c r="A298" s="15" t="n">
        <x:v>293</x:v>
      </x:c>
      <x:c r="B298" s="15" t="str">
        <x:v>C04</x:v>
      </x:c>
      <x:c r="C298" s="15" t="str">
        <x:v>C07</x:v>
      </x:c>
      <x:c r="D298" s="15" t="str">
        <x:v>Resumeble</x:v>
      </x:c>
      <x:c r="E298" s="15" t="str">
        <x:v>TopResume</x:v>
      </x:c>
      <x:c r="F298" s="34" t="n">
        <x:f>'Score Inputs'!L9</x:f>
        <x:v>74.5</x:v>
      </x:c>
      <x:c r="G298" s="34" t="n">
        <x:f>'Score Inputs'!L12</x:f>
        <x:v>62.75</x:v>
      </x:c>
      <x:c r="H298" s="34" t="n">
        <x:f>F298-G298</x:f>
        <x:v>11.75</x:v>
      </x:c>
      <x:c r="I298" s="15" t="str">
        <x:f>IF(F298=G298,"Tie",IF(F298&gt;G298,D298,E298))</x:f>
        <x:v>Resumeble</x:v>
      </x:c>
      <x:c r="J298" s="15" t="str">
        <x:f>IF(H298=0,"Exact score tie",IF(ABS(H298)&lt;2,"Close editorial call","Model preference"))</x:f>
        <x:v>Model preference</x:v>
      </x:c>
      <x:c r="K298" s="15" t="str">
        <x:v>S014 S015 S016 S017 S018 S019 S029 S030 S031 S032 S034 S035 S036</x:v>
      </x:c>
    </x:row>
    <x:row r="299" ht="64" customHeight="1">
      <x:c r="A299" s="15" t="n">
        <x:v>294</x:v>
      </x:c>
      <x:c r="B299" s="15" t="str">
        <x:v>C04</x:v>
      </x:c>
      <x:c r="C299" s="15" t="str">
        <x:v>C14</x:v>
      </x:c>
      <x:c r="D299" s="15" t="str">
        <x:v>Resumeble</x:v>
      </x:c>
      <x:c r="E299" s="15" t="str">
        <x:v>Resume Writing Group</x:v>
      </x:c>
      <x:c r="F299" s="34" t="n">
        <x:f>'Score Inputs'!L9</x:f>
        <x:v>74.5</x:v>
      </x:c>
      <x:c r="G299" s="34" t="n">
        <x:f>'Score Inputs'!L19</x:f>
        <x:v>59.75</x:v>
      </x:c>
      <x:c r="H299" s="34" t="n">
        <x:f>F299-G299</x:f>
        <x:v>14.75</x:v>
      </x:c>
      <x:c r="I299" s="15" t="str">
        <x:f>IF(F299=G299,"Tie",IF(F299&gt;G299,D299,E299))</x:f>
        <x:v>Resumeble</x:v>
      </x:c>
      <x:c r="J299" s="15" t="str">
        <x:f>IF(H299=0,"Exact score tie",IF(ABS(H299)&lt;2,"Close editorial call","Model preference"))</x:f>
        <x:v>Model preference</x:v>
      </x:c>
      <x:c r="K299" s="15" t="str">
        <x:v>S014 S015 S016 S017 S018 S019 S067 S068 S069 S070</x:v>
      </x:c>
    </x:row>
    <x:row r="300" ht="64" customHeight="1">
      <x:c r="A300" s="15" t="n">
        <x:v>295</x:v>
      </x:c>
      <x:c r="B300" s="15" t="str">
        <x:v>C16</x:v>
      </x:c>
      <x:c r="C300" s="15" t="str">
        <x:v>C11</x:v>
      </x:c>
      <x:c r="D300" s="15" t="str">
        <x:v>Resume Target</x:v>
      </x:c>
      <x:c r="E300" s="15" t="str">
        <x:v>Resume Professional Writers</x:v>
      </x:c>
      <x:c r="F300" s="34" t="n">
        <x:f>'Score Inputs'!L21</x:f>
        <x:v>74.5</x:v>
      </x:c>
      <x:c r="G300" s="34" t="n">
        <x:f>'Score Inputs'!L16</x:f>
        <x:v>65.75</x:v>
      </x:c>
      <x:c r="H300" s="34" t="n">
        <x:f>F300-G300</x:f>
        <x:v>8.75</x:v>
      </x:c>
      <x:c r="I300" s="15" t="str">
        <x:f>IF(F300=G300,"Tie",IF(F300&gt;G300,D300,E300))</x:f>
        <x:v>Resume Target</x:v>
      </x:c>
      <x:c r="J300" s="15" t="str">
        <x:f>IF(H300=0,"Exact score tie",IF(ABS(H300)&lt;2,"Close editorial call","Model preference"))</x:f>
        <x:v>Model preference</x:v>
      </x:c>
      <x:c r="K300" s="15" t="str">
        <x:v>S051 S052 S053 S054 S075 S076 S077 S078</x:v>
      </x:c>
    </x:row>
    <x:row r="301" ht="64" customHeight="1">
      <x:c r="A301" s="15" t="n">
        <x:v>296</x:v>
      </x:c>
      <x:c r="B301" s="15" t="str">
        <x:v>C16</x:v>
      </x:c>
      <x:c r="C301" s="15" t="str">
        <x:v>C07</x:v>
      </x:c>
      <x:c r="D301" s="15" t="str">
        <x:v>Resume Target</x:v>
      </x:c>
      <x:c r="E301" s="15" t="str">
        <x:v>TopResume</x:v>
      </x:c>
      <x:c r="F301" s="34" t="n">
        <x:f>'Score Inputs'!L21</x:f>
        <x:v>74.5</x:v>
      </x:c>
      <x:c r="G301" s="34" t="n">
        <x:f>'Score Inputs'!L12</x:f>
        <x:v>62.75</x:v>
      </x:c>
      <x:c r="H301" s="34" t="n">
        <x:f>F301-G301</x:f>
        <x:v>11.75</x:v>
      </x:c>
      <x:c r="I301" s="15" t="str">
        <x:f>IF(F301=G301,"Tie",IF(F301&gt;G301,D301,E301))</x:f>
        <x:v>Resume Target</x:v>
      </x:c>
      <x:c r="J301" s="15" t="str">
        <x:f>IF(H301=0,"Exact score tie",IF(ABS(H301)&lt;2,"Close editorial call","Model preference"))</x:f>
        <x:v>Model preference</x:v>
      </x:c>
      <x:c r="K301" s="15" t="str">
        <x:v>S029 S030 S031 S032 S034 S035 S036 S075 S076 S077 S078</x:v>
      </x:c>
    </x:row>
    <x:row r="302" ht="64" customHeight="1">
      <x:c r="A302" s="15" t="n">
        <x:v>297</x:v>
      </x:c>
      <x:c r="B302" s="15" t="str">
        <x:v>C16</x:v>
      </x:c>
      <x:c r="C302" s="15" t="str">
        <x:v>C14</x:v>
      </x:c>
      <x:c r="D302" s="15" t="str">
        <x:v>Resume Target</x:v>
      </x:c>
      <x:c r="E302" s="15" t="str">
        <x:v>Resume Writing Group</x:v>
      </x:c>
      <x:c r="F302" s="34" t="n">
        <x:f>'Score Inputs'!L21</x:f>
        <x:v>74.5</x:v>
      </x:c>
      <x:c r="G302" s="34" t="n">
        <x:f>'Score Inputs'!L19</x:f>
        <x:v>59.75</x:v>
      </x:c>
      <x:c r="H302" s="34" t="n">
        <x:f>F302-G302</x:f>
        <x:v>14.75</x:v>
      </x:c>
      <x:c r="I302" s="15" t="str">
        <x:f>IF(F302=G302,"Tie",IF(F302&gt;G302,D302,E302))</x:f>
        <x:v>Resume Target</x:v>
      </x:c>
      <x:c r="J302" s="15" t="str">
        <x:f>IF(H302=0,"Exact score tie",IF(ABS(H302)&lt;2,"Close editorial call","Model preference"))</x:f>
        <x:v>Model preference</x:v>
      </x:c>
      <x:c r="K302" s="15" t="str">
        <x:v>S067 S068 S069 S070 S075 S076 S077 S078</x:v>
      </x:c>
    </x:row>
    <x:row r="303" ht="64" customHeight="1">
      <x:c r="A303" s="15" t="n">
        <x:v>298</x:v>
      </x:c>
      <x:c r="B303" s="15" t="str">
        <x:v>C11</x:v>
      </x:c>
      <x:c r="C303" s="15" t="str">
        <x:v>C07</x:v>
      </x:c>
      <x:c r="D303" s="15" t="str">
        <x:v>Resume Professional Writers</x:v>
      </x:c>
      <x:c r="E303" s="15" t="str">
        <x:v>TopResume</x:v>
      </x:c>
      <x:c r="F303" s="34" t="n">
        <x:f>'Score Inputs'!L16</x:f>
        <x:v>65.75</x:v>
      </x:c>
      <x:c r="G303" s="34" t="n">
        <x:f>'Score Inputs'!L12</x:f>
        <x:v>62.75</x:v>
      </x:c>
      <x:c r="H303" s="34" t="n">
        <x:f>F303-G303</x:f>
        <x:v>3</x:v>
      </x:c>
      <x:c r="I303" s="15" t="str">
        <x:f>IF(F303=G303,"Tie",IF(F303&gt;G303,D303,E303))</x:f>
        <x:v>Resume Professional Writers</x:v>
      </x:c>
      <x:c r="J303" s="15" t="str">
        <x:f>IF(H303=0,"Exact score tie",IF(ABS(H303)&lt;2,"Close editorial call","Model preference"))</x:f>
        <x:v>Model preference</x:v>
      </x:c>
      <x:c r="K303" s="15" t="str">
        <x:v>S029 S030 S031 S032 S034 S035 S036 S051 S052 S053 S054</x:v>
      </x:c>
    </x:row>
    <x:row r="304" ht="64" customHeight="1">
      <x:c r="A304" s="15" t="n">
        <x:v>299</x:v>
      </x:c>
      <x:c r="B304" s="15" t="str">
        <x:v>C11</x:v>
      </x:c>
      <x:c r="C304" s="15" t="str">
        <x:v>C14</x:v>
      </x:c>
      <x:c r="D304" s="15" t="str">
        <x:v>Resume Professional Writers</x:v>
      </x:c>
      <x:c r="E304" s="15" t="str">
        <x:v>Resume Writing Group</x:v>
      </x:c>
      <x:c r="F304" s="34" t="n">
        <x:f>'Score Inputs'!L16</x:f>
        <x:v>65.75</x:v>
      </x:c>
      <x:c r="G304" s="34" t="n">
        <x:f>'Score Inputs'!L19</x:f>
        <x:v>59.75</x:v>
      </x:c>
      <x:c r="H304" s="34" t="n">
        <x:f>F304-G304</x:f>
        <x:v>6</x:v>
      </x:c>
      <x:c r="I304" s="15" t="str">
        <x:f>IF(F304=G304,"Tie",IF(F304&gt;G304,D304,E304))</x:f>
        <x:v>Resume Professional Writers</x:v>
      </x:c>
      <x:c r="J304" s="15" t="str">
        <x:f>IF(H304=0,"Exact score tie",IF(ABS(H304)&lt;2,"Close editorial call","Model preference"))</x:f>
        <x:v>Model preference</x:v>
      </x:c>
      <x:c r="K304" s="15" t="str">
        <x:v>S051 S052 S053 S054 S067 S068 S069 S070</x:v>
      </x:c>
    </x:row>
    <x:row r="305" ht="64" customHeight="1">
      <x:c r="A305" s="15" t="n">
        <x:v>300</x:v>
      </x:c>
      <x:c r="B305" s="15" t="str">
        <x:v>C07</x:v>
      </x:c>
      <x:c r="C305" s="15" t="str">
        <x:v>C14</x:v>
      </x:c>
      <x:c r="D305" s="15" t="str">
        <x:v>TopResume</x:v>
      </x:c>
      <x:c r="E305" s="15" t="str">
        <x:v>Resume Writing Group</x:v>
      </x:c>
      <x:c r="F305" s="34" t="n">
        <x:f>'Score Inputs'!L12</x:f>
        <x:v>62.75</x:v>
      </x:c>
      <x:c r="G305" s="34" t="n">
        <x:f>'Score Inputs'!L19</x:f>
        <x:v>59.75</x:v>
      </x:c>
      <x:c r="H305" s="34" t="n">
        <x:f>F305-G305</x:f>
        <x:v>3</x:v>
      </x:c>
      <x:c r="I305" s="15" t="str">
        <x:f>IF(F305=G305,"Tie",IF(F305&gt;G305,D305,E305))</x:f>
        <x:v>TopResume</x:v>
      </x:c>
      <x:c r="J305" s="15" t="str">
        <x:f>IF(H305=0,"Exact score tie",IF(ABS(H305)&lt;2,"Close editorial call","Model preference"))</x:f>
        <x:v>Model preference</x:v>
      </x:c>
      <x:c r="K305" s="15" t="str">
        <x:v>S029 S030 S031 S032 S034 S035 S036 S067 S068 S069 S070</x:v>
      </x:c>
    </x:row>
  </x:sheetData>
  <x:mergeCells>
    <x:mergeCell ref="A1:K1"/>
    <x:mergeCell ref="A2:K3"/>
  </x:mergeCells>
  <x:pageMargins left="0.7" right="0.7" top="0.75" bottom="0.75" header="0.3" footer="0.3"/>
  <x:tableParts count="1">
    <x:tablePart xmlns:r="http://schemas.openxmlformats.org/officeDocument/2006/relationships" r:id="R63651cc093724a2d"/>
  </x:tableParts>
</x:worksheet>
</file>

<file path=xl/worksheets/sheet8.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36" hidden="0" customWidth="1"/>
    <x:col min="2" max="2" width="5" hidden="0" customWidth="1"/>
    <x:col min="3" max="3" width="5" hidden="0" customWidth="1"/>
    <x:col min="4" max="4" width="5" hidden="0" customWidth="1"/>
    <x:col min="5" max="5" width="5" hidden="0" customWidth="1"/>
    <x:col min="6" max="6" width="5" hidden="0" customWidth="1"/>
    <x:col min="7" max="7" width="5" hidden="0" customWidth="1"/>
    <x:col min="8" max="8" width="5" hidden="0" customWidth="1"/>
    <x:col min="9" max="9" width="5" hidden="0" customWidth="1"/>
    <x:col min="10" max="10" width="5" hidden="0" customWidth="1"/>
    <x:col min="11" max="11" width="5" hidden="0" customWidth="1"/>
    <x:col min="12" max="12" width="5" hidden="0" customWidth="1"/>
    <x:col min="13" max="13" width="5" hidden="0" customWidth="1"/>
    <x:col min="14" max="14" width="5" hidden="0" customWidth="1"/>
    <x:col min="15" max="15" width="5" hidden="0" customWidth="1"/>
    <x:col min="16" max="16" width="5" hidden="0" customWidth="1"/>
    <x:col min="17" max="17" width="5" hidden="0" customWidth="1"/>
    <x:col min="18" max="18" width="5" hidden="0" customWidth="1"/>
    <x:col min="19" max="19" width="5" hidden="0" customWidth="1"/>
    <x:col min="20" max="20" width="5" hidden="0" customWidth="1"/>
    <x:col min="21" max="21" width="5" hidden="0" customWidth="1"/>
    <x:col min="22" max="22" width="5" hidden="0" customWidth="1"/>
    <x:col min="23" max="23" width="5" hidden="0" customWidth="1"/>
    <x:col min="24" max="24" width="5" hidden="0" customWidth="1"/>
    <x:col min="25" max="25" width="5" hidden="0" customWidth="1"/>
    <x:col min="26" max="26" width="5" hidden="0" customWidth="1"/>
  </x:cols>
  <x:sheetData>
    <x:row r="1" ht="32" customHeight="1">
      <x:c r="A1" s="3" t="str">
        <x:v>TOURNAMENT MATRIX | RANK NUMBERS ACROSS THE TOP</x:v>
      </x:c>
      <x:c r="B1" s="3"/>
      <x:c r="C1" s="3"/>
      <x:c r="D1" s="3"/>
      <x:c r="E1" s="3"/>
      <x:c r="F1" s="3"/>
      <x:c r="G1" s="3"/>
      <x:c r="H1" s="3"/>
      <x:c r="I1" s="3"/>
      <x:c r="J1" s="3"/>
      <x:c r="K1" s="3"/>
      <x:c r="L1" s="3"/>
      <x:c r="M1" s="3"/>
      <x:c r="N1" s="3"/>
      <x:c r="O1" s="3"/>
      <x:c r="P1" s="3"/>
      <x:c r="Q1" s="3"/>
      <x:c r="R1" s="3"/>
      <x:c r="S1" s="3"/>
      <x:c r="T1" s="3"/>
      <x:c r="U1" s="3"/>
      <x:c r="V1" s="3"/>
      <x:c r="W1" s="3"/>
      <x:c r="X1" s="3"/>
      <x:c r="Y1" s="3"/>
      <x:c r="Z1" s="3"/>
    </x:row>
    <x:row r="2" ht="24" customHeight="1">
      <x:c r="A2" s="8" t="str">
        <x:v>W = higher editorial score; L = lower score; T = equal score; — = same company. Rank-number key is the Ranking sheet. Ties stay ties even when display order uses a tie-break.</x:v>
      </x:c>
      <x:c r="B2" s="8"/>
      <x:c r="C2" s="8"/>
      <x:c r="D2" s="8"/>
      <x:c r="E2" s="8"/>
      <x:c r="F2" s="8"/>
      <x:c r="G2" s="8"/>
      <x:c r="H2" s="8"/>
      <x:c r="I2" s="8"/>
      <x:c r="J2" s="8"/>
      <x:c r="K2" s="8"/>
      <x:c r="L2" s="8"/>
      <x:c r="M2" s="8"/>
      <x:c r="N2" s="8"/>
      <x:c r="O2" s="8"/>
      <x:c r="P2" s="8"/>
      <x:c r="Q2" s="8"/>
      <x:c r="R2" s="8"/>
      <x:c r="S2" s="8"/>
      <x:c r="T2" s="8"/>
      <x:c r="U2" s="8"/>
      <x:c r="V2" s="8"/>
      <x:c r="W2" s="8"/>
      <x:c r="X2" s="8"/>
      <x:c r="Y2" s="8"/>
      <x:c r="Z2" s="8"/>
    </x:row>
    <x:row r="3" ht="24" customHeight="1">
      <x:c r="A3" s="8"/>
      <x:c r="B3" s="8"/>
      <x:c r="C3" s="8"/>
      <x:c r="D3" s="8"/>
      <x:c r="E3" s="8"/>
      <x:c r="F3" s="8"/>
      <x:c r="G3" s="8"/>
      <x:c r="H3" s="8"/>
      <x:c r="I3" s="8"/>
      <x:c r="J3" s="8"/>
      <x:c r="K3" s="8"/>
      <x:c r="L3" s="8"/>
      <x:c r="M3" s="8"/>
      <x:c r="N3" s="8"/>
      <x:c r="O3" s="8"/>
      <x:c r="P3" s="8"/>
      <x:c r="Q3" s="8"/>
      <x:c r="R3" s="8"/>
      <x:c r="S3" s="8"/>
      <x:c r="T3" s="8"/>
      <x:c r="U3" s="8"/>
      <x:c r="V3" s="8"/>
      <x:c r="W3" s="8"/>
      <x:c r="X3" s="8"/>
      <x:c r="Y3" s="8"/>
      <x:c r="Z3" s="8"/>
    </x:row>
    <x:row r="5" ht="34" customHeight="1">
      <x:c r="A5" s="12" t="str">
        <x:v>Company</x:v>
      </x:c>
      <x:c r="B5" s="12" t="str">
        <x:v>1</x:v>
      </x:c>
      <x:c r="C5" s="12" t="str">
        <x:v>2</x:v>
      </x:c>
      <x:c r="D5" s="12" t="str">
        <x:v>3</x:v>
      </x:c>
      <x:c r="E5" s="12" t="str">
        <x:v>4</x:v>
      </x:c>
      <x:c r="F5" s="12" t="str">
        <x:v>5</x:v>
      </x:c>
      <x:c r="G5" s="12" t="str">
        <x:v>6</x:v>
      </x:c>
      <x:c r="H5" s="12" t="str">
        <x:v>7</x:v>
      </x:c>
      <x:c r="I5" s="12" t="str">
        <x:v>8</x:v>
      </x:c>
      <x:c r="J5" s="12" t="str">
        <x:v>9</x:v>
      </x:c>
      <x:c r="K5" s="12" t="str">
        <x:v>10</x:v>
      </x:c>
      <x:c r="L5" s="12" t="str">
        <x:v>11</x:v>
      </x:c>
      <x:c r="M5" s="12" t="str">
        <x:v>12</x:v>
      </x:c>
      <x:c r="N5" s="12" t="str">
        <x:v>13</x:v>
      </x:c>
      <x:c r="O5" s="12" t="str">
        <x:v>14</x:v>
      </x:c>
      <x:c r="P5" s="12" t="str">
        <x:v>15</x:v>
      </x:c>
      <x:c r="Q5" s="12" t="str">
        <x:v>16</x:v>
      </x:c>
      <x:c r="R5" s="12" t="str">
        <x:v>17</x:v>
      </x:c>
      <x:c r="S5" s="12" t="str">
        <x:v>18</x:v>
      </x:c>
      <x:c r="T5" s="12" t="str">
        <x:v>19</x:v>
      </x:c>
      <x:c r="U5" s="12" t="str">
        <x:v>20</x:v>
      </x:c>
      <x:c r="V5" s="12" t="str">
        <x:v>21</x:v>
      </x:c>
      <x:c r="W5" s="12" t="str">
        <x:v>22</x:v>
      </x:c>
      <x:c r="X5" s="12" t="str">
        <x:v>23</x:v>
      </x:c>
      <x:c r="Y5" s="12" t="str">
        <x:v>24</x:v>
      </x:c>
      <x:c r="Z5" s="12" t="str">
        <x:v>25</x:v>
      </x:c>
    </x:row>
    <x:row r="6" ht="32" customHeight="1">
      <x:c r="A6" s="15" t="str">
        <x:f>Ranking!B6</x:f>
        <x:v>Ivy League Résumés</x:v>
      </x:c>
      <x:c r="B6" s="50" t="str">
        <x:f>IF(6=6,"—",IF(Ranking!$H6=Ranking!$H6,"T",IF(Ranking!$H6&gt;Ranking!$H6,"W","L")))</x:f>
        <x:v>—</x:v>
      </x:c>
      <x:c r="C6" s="50" t="str">
        <x:f>IF(6=7,"—",IF(Ranking!$H6=Ranking!$H7,"T",IF(Ranking!$H6&gt;Ranking!$H7,"W","L")))</x:f>
        <x:v>W</x:v>
      </x:c>
      <x:c r="D6" s="50" t="str">
        <x:f>IF(6=8,"—",IF(Ranking!$H6=Ranking!$H8,"T",IF(Ranking!$H6&gt;Ranking!$H8,"W","L")))</x:f>
        <x:v>W</x:v>
      </x:c>
      <x:c r="E6" s="50" t="str">
        <x:f>IF(6=9,"—",IF(Ranking!$H6=Ranking!$H9,"T",IF(Ranking!$H6&gt;Ranking!$H9,"W","L")))</x:f>
        <x:v>W</x:v>
      </x:c>
      <x:c r="F6" s="50" t="str">
        <x:f>IF(6=10,"—",IF(Ranking!$H6=Ranking!$H10,"T",IF(Ranking!$H6&gt;Ranking!$H10,"W","L")))</x:f>
        <x:v>W</x:v>
      </x:c>
      <x:c r="G6" s="50" t="str">
        <x:f>IF(6=11,"—",IF(Ranking!$H6=Ranking!$H11,"T",IF(Ranking!$H6&gt;Ranking!$H11,"W","L")))</x:f>
        <x:v>W</x:v>
      </x:c>
      <x:c r="H6" s="50" t="str">
        <x:f>IF(6=12,"—",IF(Ranking!$H6=Ranking!$H12,"T",IF(Ranking!$H6&gt;Ranking!$H12,"W","L")))</x:f>
        <x:v>W</x:v>
      </x:c>
      <x:c r="I6" s="50" t="str">
        <x:f>IF(6=13,"—",IF(Ranking!$H6=Ranking!$H13,"T",IF(Ranking!$H6&gt;Ranking!$H13,"W","L")))</x:f>
        <x:v>W</x:v>
      </x:c>
      <x:c r="J6" s="50" t="str">
        <x:f>IF(6=14,"—",IF(Ranking!$H6=Ranking!$H14,"T",IF(Ranking!$H6&gt;Ranking!$H14,"W","L")))</x:f>
        <x:v>W</x:v>
      </x:c>
      <x:c r="K6" s="50" t="str">
        <x:f>IF(6=15,"—",IF(Ranking!$H6=Ranking!$H15,"T",IF(Ranking!$H6&gt;Ranking!$H15,"W","L")))</x:f>
        <x:v>W</x:v>
      </x:c>
      <x:c r="L6" s="50" t="str">
        <x:f>IF(6=16,"—",IF(Ranking!$H6=Ranking!$H16,"T",IF(Ranking!$H6&gt;Ranking!$H16,"W","L")))</x:f>
        <x:v>W</x:v>
      </x:c>
      <x:c r="M6" s="50" t="str">
        <x:f>IF(6=17,"—",IF(Ranking!$H6=Ranking!$H17,"T",IF(Ranking!$H6&gt;Ranking!$H17,"W","L")))</x:f>
        <x:v>W</x:v>
      </x:c>
      <x:c r="N6" s="50" t="str">
        <x:f>IF(6=18,"—",IF(Ranking!$H6=Ranking!$H18,"T",IF(Ranking!$H6&gt;Ranking!$H18,"W","L")))</x:f>
        <x:v>W</x:v>
      </x:c>
      <x:c r="O6" s="50" t="str">
        <x:f>IF(6=19,"—",IF(Ranking!$H6=Ranking!$H19,"T",IF(Ranking!$H6&gt;Ranking!$H19,"W","L")))</x:f>
        <x:v>W</x:v>
      </x:c>
      <x:c r="P6" s="50" t="str">
        <x:f>IF(6=20,"—",IF(Ranking!$H6=Ranking!$H20,"T",IF(Ranking!$H6&gt;Ranking!$H20,"W","L")))</x:f>
        <x:v>W</x:v>
      </x:c>
      <x:c r="Q6" s="50" t="str">
        <x:f>IF(6=21,"—",IF(Ranking!$H6=Ranking!$H21,"T",IF(Ranking!$H6&gt;Ranking!$H21,"W","L")))</x:f>
        <x:v>W</x:v>
      </x:c>
      <x:c r="R6" s="50" t="str">
        <x:f>IF(6=22,"—",IF(Ranking!$H6=Ranking!$H22,"T",IF(Ranking!$H6&gt;Ranking!$H22,"W","L")))</x:f>
        <x:v>W</x:v>
      </x:c>
      <x:c r="S6" s="50" t="str">
        <x:f>IF(6=23,"—",IF(Ranking!$H6=Ranking!$H23,"T",IF(Ranking!$H6&gt;Ranking!$H23,"W","L")))</x:f>
        <x:v>W</x:v>
      </x:c>
      <x:c r="T6" s="50" t="str">
        <x:f>IF(6=24,"—",IF(Ranking!$H6=Ranking!$H24,"T",IF(Ranking!$H6&gt;Ranking!$H24,"W","L")))</x:f>
        <x:v>W</x:v>
      </x:c>
      <x:c r="U6" s="50" t="str">
        <x:f>IF(6=25,"—",IF(Ranking!$H6=Ranking!$H25,"T",IF(Ranking!$H6&gt;Ranking!$H25,"W","L")))</x:f>
        <x:v>W</x:v>
      </x:c>
      <x:c r="V6" s="50" t="str">
        <x:f>IF(6=26,"—",IF(Ranking!$H6=Ranking!$H26,"T",IF(Ranking!$H6&gt;Ranking!$H26,"W","L")))</x:f>
        <x:v>W</x:v>
      </x:c>
      <x:c r="W6" s="50" t="str">
        <x:f>IF(6=27,"—",IF(Ranking!$H6=Ranking!$H27,"T",IF(Ranking!$H6&gt;Ranking!$H27,"W","L")))</x:f>
        <x:v>W</x:v>
      </x:c>
      <x:c r="X6" s="50" t="str">
        <x:f>IF(6=28,"—",IF(Ranking!$H6=Ranking!$H28,"T",IF(Ranking!$H6&gt;Ranking!$H28,"W","L")))</x:f>
        <x:v>W</x:v>
      </x:c>
      <x:c r="Y6" s="50" t="str">
        <x:f>IF(6=29,"—",IF(Ranking!$H6=Ranking!$H29,"T",IF(Ranking!$H6&gt;Ranking!$H29,"W","L")))</x:f>
        <x:v>W</x:v>
      </x:c>
      <x:c r="Z6" s="50" t="str">
        <x:f>IF(6=30,"—",IF(Ranking!$H6=Ranking!$H30,"T",IF(Ranking!$H6&gt;Ranking!$H30,"W","L")))</x:f>
        <x:v>W</x:v>
      </x:c>
    </x:row>
    <x:row r="7" ht="32" customHeight="1">
      <x:c r="A7" s="15" t="str">
        <x:f>Ranking!B7</x:f>
        <x:v>Career Impressions</x:v>
      </x:c>
      <x:c r="B7" s="50" t="str">
        <x:f>IF(7=6,"—",IF(Ranking!$H7=Ranking!$H6,"T",IF(Ranking!$H7&gt;Ranking!$H6,"W","L")))</x:f>
        <x:v>L</x:v>
      </x:c>
      <x:c r="C7" s="50" t="str">
        <x:f>IF(7=7,"—",IF(Ranking!$H7=Ranking!$H7,"T",IF(Ranking!$H7&gt;Ranking!$H7,"W","L")))</x:f>
        <x:v>—</x:v>
      </x:c>
      <x:c r="D7" s="50" t="str">
        <x:f>IF(7=8,"—",IF(Ranking!$H7=Ranking!$H8,"T",IF(Ranking!$H7&gt;Ranking!$H8,"W","L")))</x:f>
        <x:v>W</x:v>
      </x:c>
      <x:c r="E7" s="50" t="str">
        <x:f>IF(7=9,"—",IF(Ranking!$H7=Ranking!$H9,"T",IF(Ranking!$H7&gt;Ranking!$H9,"W","L")))</x:f>
        <x:v>W</x:v>
      </x:c>
      <x:c r="F7" s="50" t="str">
        <x:f>IF(7=10,"—",IF(Ranking!$H7=Ranking!$H10,"T",IF(Ranking!$H7&gt;Ranking!$H10,"W","L")))</x:f>
        <x:v>W</x:v>
      </x:c>
      <x:c r="G7" s="50" t="str">
        <x:f>IF(7=11,"—",IF(Ranking!$H7=Ranking!$H11,"T",IF(Ranking!$H7&gt;Ranking!$H11,"W","L")))</x:f>
        <x:v>W</x:v>
      </x:c>
      <x:c r="H7" s="50" t="str">
        <x:f>IF(7=12,"—",IF(Ranking!$H7=Ranking!$H12,"T",IF(Ranking!$H7&gt;Ranking!$H12,"W","L")))</x:f>
        <x:v>W</x:v>
      </x:c>
      <x:c r="I7" s="50" t="str">
        <x:f>IF(7=13,"—",IF(Ranking!$H7=Ranking!$H13,"T",IF(Ranking!$H7&gt;Ranking!$H13,"W","L")))</x:f>
        <x:v>W</x:v>
      </x:c>
      <x:c r="J7" s="50" t="str">
        <x:f>IF(7=14,"—",IF(Ranking!$H7=Ranking!$H14,"T",IF(Ranking!$H7&gt;Ranking!$H14,"W","L")))</x:f>
        <x:v>W</x:v>
      </x:c>
      <x:c r="K7" s="50" t="str">
        <x:f>IF(7=15,"—",IF(Ranking!$H7=Ranking!$H15,"T",IF(Ranking!$H7&gt;Ranking!$H15,"W","L")))</x:f>
        <x:v>W</x:v>
      </x:c>
      <x:c r="L7" s="50" t="str">
        <x:f>IF(7=16,"—",IF(Ranking!$H7=Ranking!$H16,"T",IF(Ranking!$H7&gt;Ranking!$H16,"W","L")))</x:f>
        <x:v>W</x:v>
      </x:c>
      <x:c r="M7" s="50" t="str">
        <x:f>IF(7=17,"—",IF(Ranking!$H7=Ranking!$H17,"T",IF(Ranking!$H7&gt;Ranking!$H17,"W","L")))</x:f>
        <x:v>W</x:v>
      </x:c>
      <x:c r="N7" s="50" t="str">
        <x:f>IF(7=18,"—",IF(Ranking!$H7=Ranking!$H18,"T",IF(Ranking!$H7&gt;Ranking!$H18,"W","L")))</x:f>
        <x:v>W</x:v>
      </x:c>
      <x:c r="O7" s="50" t="str">
        <x:f>IF(7=19,"—",IF(Ranking!$H7=Ranking!$H19,"T",IF(Ranking!$H7&gt;Ranking!$H19,"W","L")))</x:f>
        <x:v>W</x:v>
      </x:c>
      <x:c r="P7" s="50" t="str">
        <x:f>IF(7=20,"—",IF(Ranking!$H7=Ranking!$H20,"T",IF(Ranking!$H7&gt;Ranking!$H20,"W","L")))</x:f>
        <x:v>W</x:v>
      </x:c>
      <x:c r="Q7" s="50" t="str">
        <x:f>IF(7=21,"—",IF(Ranking!$H7=Ranking!$H21,"T",IF(Ranking!$H7&gt;Ranking!$H21,"W","L")))</x:f>
        <x:v>W</x:v>
      </x:c>
      <x:c r="R7" s="50" t="str">
        <x:f>IF(7=22,"—",IF(Ranking!$H7=Ranking!$H22,"T",IF(Ranking!$H7&gt;Ranking!$H22,"W","L")))</x:f>
        <x:v>W</x:v>
      </x:c>
      <x:c r="S7" s="50" t="str">
        <x:f>IF(7=23,"—",IF(Ranking!$H7=Ranking!$H23,"T",IF(Ranking!$H7&gt;Ranking!$H23,"W","L")))</x:f>
        <x:v>W</x:v>
      </x:c>
      <x:c r="T7" s="50" t="str">
        <x:f>IF(7=24,"—",IF(Ranking!$H7=Ranking!$H24,"T",IF(Ranking!$H7&gt;Ranking!$H24,"W","L")))</x:f>
        <x:v>W</x:v>
      </x:c>
      <x:c r="U7" s="50" t="str">
        <x:f>IF(7=25,"—",IF(Ranking!$H7=Ranking!$H25,"T",IF(Ranking!$H7&gt;Ranking!$H25,"W","L")))</x:f>
        <x:v>W</x:v>
      </x:c>
      <x:c r="V7" s="50" t="str">
        <x:f>IF(7=26,"—",IF(Ranking!$H7=Ranking!$H26,"T",IF(Ranking!$H7&gt;Ranking!$H26,"W","L")))</x:f>
        <x:v>W</x:v>
      </x:c>
      <x:c r="W7" s="50" t="str">
        <x:f>IF(7=27,"—",IF(Ranking!$H7=Ranking!$H27,"T",IF(Ranking!$H7&gt;Ranking!$H27,"W","L")))</x:f>
        <x:v>W</x:v>
      </x:c>
      <x:c r="X7" s="50" t="str">
        <x:f>IF(7=28,"—",IF(Ranking!$H7=Ranking!$H28,"T",IF(Ranking!$H7&gt;Ranking!$H28,"W","L")))</x:f>
        <x:v>W</x:v>
      </x:c>
      <x:c r="Y7" s="50" t="str">
        <x:f>IF(7=29,"—",IF(Ranking!$H7=Ranking!$H29,"T",IF(Ranking!$H7&gt;Ranking!$H29,"W","L")))</x:f>
        <x:v>W</x:v>
      </x:c>
      <x:c r="Z7" s="50" t="str">
        <x:f>IF(7=30,"—",IF(Ranking!$H7=Ranking!$H30,"T",IF(Ranking!$H7&gt;Ranking!$H30,"W","L")))</x:f>
        <x:v>W</x:v>
      </x:c>
    </x:row>
    <x:row r="8" ht="32" customHeight="1">
      <x:c r="A8" s="15" t="str">
        <x:f>Ranking!B8</x:f>
        <x:v>An Expert Resume</x:v>
      </x:c>
      <x:c r="B8" s="50" t="str">
        <x:f>IF(8=6,"—",IF(Ranking!$H8=Ranking!$H6,"T",IF(Ranking!$H8&gt;Ranking!$H6,"W","L")))</x:f>
        <x:v>L</x:v>
      </x:c>
      <x:c r="C8" s="50" t="str">
        <x:f>IF(8=7,"—",IF(Ranking!$H8=Ranking!$H7,"T",IF(Ranking!$H8&gt;Ranking!$H7,"W","L")))</x:f>
        <x:v>L</x:v>
      </x:c>
      <x:c r="D8" s="50" t="str">
        <x:f>IF(8=8,"—",IF(Ranking!$H8=Ranking!$H8,"T",IF(Ranking!$H8&gt;Ranking!$H8,"W","L")))</x:f>
        <x:v>—</x:v>
      </x:c>
      <x:c r="E8" s="50" t="str">
        <x:f>IF(8=9,"—",IF(Ranking!$H8=Ranking!$H9,"T",IF(Ranking!$H8&gt;Ranking!$H9,"W","L")))</x:f>
        <x:v>W</x:v>
      </x:c>
      <x:c r="F8" s="50" t="str">
        <x:f>IF(8=10,"—",IF(Ranking!$H8=Ranking!$H10,"T",IF(Ranking!$H8&gt;Ranking!$H10,"W","L")))</x:f>
        <x:v>W</x:v>
      </x:c>
      <x:c r="G8" s="50" t="str">
        <x:f>IF(8=11,"—",IF(Ranking!$H8=Ranking!$H11,"T",IF(Ranking!$H8&gt;Ranking!$H11,"W","L")))</x:f>
        <x:v>W</x:v>
      </x:c>
      <x:c r="H8" s="50" t="str">
        <x:f>IF(8=12,"—",IF(Ranking!$H8=Ranking!$H12,"T",IF(Ranking!$H8&gt;Ranking!$H12,"W","L")))</x:f>
        <x:v>W</x:v>
      </x:c>
      <x:c r="I8" s="50" t="str">
        <x:f>IF(8=13,"—",IF(Ranking!$H8=Ranking!$H13,"T",IF(Ranking!$H8&gt;Ranking!$H13,"W","L")))</x:f>
        <x:v>W</x:v>
      </x:c>
      <x:c r="J8" s="50" t="str">
        <x:f>IF(8=14,"—",IF(Ranking!$H8=Ranking!$H14,"T",IF(Ranking!$H8&gt;Ranking!$H14,"W","L")))</x:f>
        <x:v>W</x:v>
      </x:c>
      <x:c r="K8" s="50" t="str">
        <x:f>IF(8=15,"—",IF(Ranking!$H8=Ranking!$H15,"T",IF(Ranking!$H8&gt;Ranking!$H15,"W","L")))</x:f>
        <x:v>W</x:v>
      </x:c>
      <x:c r="L8" s="50" t="str">
        <x:f>IF(8=16,"—",IF(Ranking!$H8=Ranking!$H16,"T",IF(Ranking!$H8&gt;Ranking!$H16,"W","L")))</x:f>
        <x:v>W</x:v>
      </x:c>
      <x:c r="M8" s="50" t="str">
        <x:f>IF(8=17,"—",IF(Ranking!$H8=Ranking!$H17,"T",IF(Ranking!$H8&gt;Ranking!$H17,"W","L")))</x:f>
        <x:v>W</x:v>
      </x:c>
      <x:c r="N8" s="50" t="str">
        <x:f>IF(8=18,"—",IF(Ranking!$H8=Ranking!$H18,"T",IF(Ranking!$H8&gt;Ranking!$H18,"W","L")))</x:f>
        <x:v>W</x:v>
      </x:c>
      <x:c r="O8" s="50" t="str">
        <x:f>IF(8=19,"—",IF(Ranking!$H8=Ranking!$H19,"T",IF(Ranking!$H8&gt;Ranking!$H19,"W","L")))</x:f>
        <x:v>W</x:v>
      </x:c>
      <x:c r="P8" s="50" t="str">
        <x:f>IF(8=20,"—",IF(Ranking!$H8=Ranking!$H20,"T",IF(Ranking!$H8&gt;Ranking!$H20,"W","L")))</x:f>
        <x:v>W</x:v>
      </x:c>
      <x:c r="Q8" s="50" t="str">
        <x:f>IF(8=21,"—",IF(Ranking!$H8=Ranking!$H21,"T",IF(Ranking!$H8&gt;Ranking!$H21,"W","L")))</x:f>
        <x:v>W</x:v>
      </x:c>
      <x:c r="R8" s="50" t="str">
        <x:f>IF(8=22,"—",IF(Ranking!$H8=Ranking!$H22,"T",IF(Ranking!$H8&gt;Ranking!$H22,"W","L")))</x:f>
        <x:v>W</x:v>
      </x:c>
      <x:c r="S8" s="50" t="str">
        <x:f>IF(8=23,"—",IF(Ranking!$H8=Ranking!$H23,"T",IF(Ranking!$H8&gt;Ranking!$H23,"W","L")))</x:f>
        <x:v>W</x:v>
      </x:c>
      <x:c r="T8" s="50" t="str">
        <x:f>IF(8=24,"—",IF(Ranking!$H8=Ranking!$H24,"T",IF(Ranking!$H8&gt;Ranking!$H24,"W","L")))</x:f>
        <x:v>W</x:v>
      </x:c>
      <x:c r="U8" s="50" t="str">
        <x:f>IF(8=25,"—",IF(Ranking!$H8=Ranking!$H25,"T",IF(Ranking!$H8&gt;Ranking!$H25,"W","L")))</x:f>
        <x:v>W</x:v>
      </x:c>
      <x:c r="V8" s="50" t="str">
        <x:f>IF(8=26,"—",IF(Ranking!$H8=Ranking!$H26,"T",IF(Ranking!$H8&gt;Ranking!$H26,"W","L")))</x:f>
        <x:v>W</x:v>
      </x:c>
      <x:c r="W8" s="50" t="str">
        <x:f>IF(8=27,"—",IF(Ranking!$H8=Ranking!$H27,"T",IF(Ranking!$H8&gt;Ranking!$H27,"W","L")))</x:f>
        <x:v>W</x:v>
      </x:c>
      <x:c r="X8" s="50" t="str">
        <x:f>IF(8=28,"—",IF(Ranking!$H8=Ranking!$H28,"T",IF(Ranking!$H8&gt;Ranking!$H28,"W","L")))</x:f>
        <x:v>W</x:v>
      </x:c>
      <x:c r="Y8" s="50" t="str">
        <x:f>IF(8=29,"—",IF(Ranking!$H8=Ranking!$H29,"T",IF(Ranking!$H8&gt;Ranking!$H29,"W","L")))</x:f>
        <x:v>W</x:v>
      </x:c>
      <x:c r="Z8" s="50" t="str">
        <x:f>IF(8=30,"—",IF(Ranking!$H8=Ranking!$H30,"T",IF(Ranking!$H8&gt;Ranking!$H30,"W","L")))</x:f>
        <x:v>W</x:v>
      </x:c>
    </x:row>
    <x:row r="9" ht="32" customHeight="1">
      <x:c r="A9" s="15" t="str">
        <x:f>Ranking!B9</x:f>
        <x:v>Distinctive Career Services</x:v>
      </x:c>
      <x:c r="B9" s="50" t="str">
        <x:f>IF(9=6,"—",IF(Ranking!$H9=Ranking!$H6,"T",IF(Ranking!$H9&gt;Ranking!$H6,"W","L")))</x:f>
        <x:v>L</x:v>
      </x:c>
      <x:c r="C9" s="50" t="str">
        <x:f>IF(9=7,"—",IF(Ranking!$H9=Ranking!$H7,"T",IF(Ranking!$H9&gt;Ranking!$H7,"W","L")))</x:f>
        <x:v>L</x:v>
      </x:c>
      <x:c r="D9" s="50" t="str">
        <x:f>IF(9=8,"—",IF(Ranking!$H9=Ranking!$H8,"T",IF(Ranking!$H9&gt;Ranking!$H8,"W","L")))</x:f>
        <x:v>L</x:v>
      </x:c>
      <x:c r="E9" s="50" t="str">
        <x:f>IF(9=9,"—",IF(Ranking!$H9=Ranking!$H9,"T",IF(Ranking!$H9&gt;Ranking!$H9,"W","L")))</x:f>
        <x:v>—</x:v>
      </x:c>
      <x:c r="F9" s="50" t="str">
        <x:f>IF(9=10,"—",IF(Ranking!$H9=Ranking!$H10,"T",IF(Ranking!$H9&gt;Ranking!$H10,"W","L")))</x:f>
        <x:v>W</x:v>
      </x:c>
      <x:c r="G9" s="50" t="str">
        <x:f>IF(9=11,"—",IF(Ranking!$H9=Ranking!$H11,"T",IF(Ranking!$H9&gt;Ranking!$H11,"W","L")))</x:f>
        <x:v>W</x:v>
      </x:c>
      <x:c r="H9" s="50" t="str">
        <x:f>IF(9=12,"—",IF(Ranking!$H9=Ranking!$H12,"T",IF(Ranking!$H9&gt;Ranking!$H12,"W","L")))</x:f>
        <x:v>W</x:v>
      </x:c>
      <x:c r="I9" s="50" t="str">
        <x:f>IF(9=13,"—",IF(Ranking!$H9=Ranking!$H13,"T",IF(Ranking!$H9&gt;Ranking!$H13,"W","L")))</x:f>
        <x:v>W</x:v>
      </x:c>
      <x:c r="J9" s="50" t="str">
        <x:f>IF(9=14,"—",IF(Ranking!$H9=Ranking!$H14,"T",IF(Ranking!$H9&gt;Ranking!$H14,"W","L")))</x:f>
        <x:v>W</x:v>
      </x:c>
      <x:c r="K9" s="50" t="str">
        <x:f>IF(9=15,"—",IF(Ranking!$H9=Ranking!$H15,"T",IF(Ranking!$H9&gt;Ranking!$H15,"W","L")))</x:f>
        <x:v>W</x:v>
      </x:c>
      <x:c r="L9" s="50" t="str">
        <x:f>IF(9=16,"—",IF(Ranking!$H9=Ranking!$H16,"T",IF(Ranking!$H9&gt;Ranking!$H16,"W","L")))</x:f>
        <x:v>W</x:v>
      </x:c>
      <x:c r="M9" s="50" t="str">
        <x:f>IF(9=17,"—",IF(Ranking!$H9=Ranking!$H17,"T",IF(Ranking!$H9&gt;Ranking!$H17,"W","L")))</x:f>
        <x:v>W</x:v>
      </x:c>
      <x:c r="N9" s="50" t="str">
        <x:f>IF(9=18,"—",IF(Ranking!$H9=Ranking!$H18,"T",IF(Ranking!$H9&gt;Ranking!$H18,"W","L")))</x:f>
        <x:v>W</x:v>
      </x:c>
      <x:c r="O9" s="50" t="str">
        <x:f>IF(9=19,"—",IF(Ranking!$H9=Ranking!$H19,"T",IF(Ranking!$H9&gt;Ranking!$H19,"W","L")))</x:f>
        <x:v>W</x:v>
      </x:c>
      <x:c r="P9" s="50" t="str">
        <x:f>IF(9=20,"—",IF(Ranking!$H9=Ranking!$H20,"T",IF(Ranking!$H9&gt;Ranking!$H20,"W","L")))</x:f>
        <x:v>W</x:v>
      </x:c>
      <x:c r="Q9" s="50" t="str">
        <x:f>IF(9=21,"—",IF(Ranking!$H9=Ranking!$H21,"T",IF(Ranking!$H9&gt;Ranking!$H21,"W","L")))</x:f>
        <x:v>W</x:v>
      </x:c>
      <x:c r="R9" s="50" t="str">
        <x:f>IF(9=22,"—",IF(Ranking!$H9=Ranking!$H22,"T",IF(Ranking!$H9&gt;Ranking!$H22,"W","L")))</x:f>
        <x:v>W</x:v>
      </x:c>
      <x:c r="S9" s="50" t="str">
        <x:f>IF(9=23,"—",IF(Ranking!$H9=Ranking!$H23,"T",IF(Ranking!$H9&gt;Ranking!$H23,"W","L")))</x:f>
        <x:v>W</x:v>
      </x:c>
      <x:c r="T9" s="50" t="str">
        <x:f>IF(9=24,"—",IF(Ranking!$H9=Ranking!$H24,"T",IF(Ranking!$H9&gt;Ranking!$H24,"W","L")))</x:f>
        <x:v>W</x:v>
      </x:c>
      <x:c r="U9" s="50" t="str">
        <x:f>IF(9=25,"—",IF(Ranking!$H9=Ranking!$H25,"T",IF(Ranking!$H9&gt;Ranking!$H25,"W","L")))</x:f>
        <x:v>W</x:v>
      </x:c>
      <x:c r="V9" s="50" t="str">
        <x:f>IF(9=26,"—",IF(Ranking!$H9=Ranking!$H26,"T",IF(Ranking!$H9&gt;Ranking!$H26,"W","L")))</x:f>
        <x:v>W</x:v>
      </x:c>
      <x:c r="W9" s="50" t="str">
        <x:f>IF(9=27,"—",IF(Ranking!$H9=Ranking!$H27,"T",IF(Ranking!$H9&gt;Ranking!$H27,"W","L")))</x:f>
        <x:v>W</x:v>
      </x:c>
      <x:c r="X9" s="50" t="str">
        <x:f>IF(9=28,"—",IF(Ranking!$H9=Ranking!$H28,"T",IF(Ranking!$H9&gt;Ranking!$H28,"W","L")))</x:f>
        <x:v>W</x:v>
      </x:c>
      <x:c r="Y9" s="50" t="str">
        <x:f>IF(9=29,"—",IF(Ranking!$H9=Ranking!$H29,"T",IF(Ranking!$H9&gt;Ranking!$H29,"W","L")))</x:f>
        <x:v>W</x:v>
      </x:c>
      <x:c r="Z9" s="50" t="str">
        <x:f>IF(9=30,"—",IF(Ranking!$H9=Ranking!$H30,"T",IF(Ranking!$H9&gt;Ranking!$H30,"W","L")))</x:f>
        <x:v>W</x:v>
      </x:c>
    </x:row>
    <x:row r="10" ht="32" customHeight="1">
      <x:c r="A10" s="15" t="str">
        <x:f>Ranking!B10</x:f>
        <x:v>The Writing Guru</x:v>
      </x:c>
      <x:c r="B10" s="50" t="str">
        <x:f>IF(10=6,"—",IF(Ranking!$H10=Ranking!$H6,"T",IF(Ranking!$H10&gt;Ranking!$H6,"W","L")))</x:f>
        <x:v>L</x:v>
      </x:c>
      <x:c r="C10" s="50" t="str">
        <x:f>IF(10=7,"—",IF(Ranking!$H10=Ranking!$H7,"T",IF(Ranking!$H10&gt;Ranking!$H7,"W","L")))</x:f>
        <x:v>L</x:v>
      </x:c>
      <x:c r="D10" s="50" t="str">
        <x:f>IF(10=8,"—",IF(Ranking!$H10=Ranking!$H8,"T",IF(Ranking!$H10&gt;Ranking!$H8,"W","L")))</x:f>
        <x:v>L</x:v>
      </x:c>
      <x:c r="E10" s="50" t="str">
        <x:f>IF(10=9,"—",IF(Ranking!$H10=Ranking!$H9,"T",IF(Ranking!$H10&gt;Ranking!$H9,"W","L")))</x:f>
        <x:v>L</x:v>
      </x:c>
      <x:c r="F10" s="50" t="str">
        <x:f>IF(10=10,"—",IF(Ranking!$H10=Ranking!$H10,"T",IF(Ranking!$H10&gt;Ranking!$H10,"W","L")))</x:f>
        <x:v>—</x:v>
      </x:c>
      <x:c r="G10" s="50" t="str">
        <x:f>IF(10=11,"—",IF(Ranking!$H10=Ranking!$H11,"T",IF(Ranking!$H10&gt;Ranking!$H11,"W","L")))</x:f>
        <x:v>W</x:v>
      </x:c>
      <x:c r="H10" s="50" t="str">
        <x:f>IF(10=12,"—",IF(Ranking!$H10=Ranking!$H12,"T",IF(Ranking!$H10&gt;Ranking!$H12,"W","L")))</x:f>
        <x:v>W</x:v>
      </x:c>
      <x:c r="I10" s="50" t="str">
        <x:f>IF(10=13,"—",IF(Ranking!$H10=Ranking!$H13,"T",IF(Ranking!$H10&gt;Ranking!$H13,"W","L")))</x:f>
        <x:v>W</x:v>
      </x:c>
      <x:c r="J10" s="50" t="str">
        <x:f>IF(10=14,"—",IF(Ranking!$H10=Ranking!$H14,"T",IF(Ranking!$H10&gt;Ranking!$H14,"W","L")))</x:f>
        <x:v>W</x:v>
      </x:c>
      <x:c r="K10" s="50" t="str">
        <x:f>IF(10=15,"—",IF(Ranking!$H10=Ranking!$H15,"T",IF(Ranking!$H10&gt;Ranking!$H15,"W","L")))</x:f>
        <x:v>W</x:v>
      </x:c>
      <x:c r="L10" s="50" t="str">
        <x:f>IF(10=16,"—",IF(Ranking!$H10=Ranking!$H16,"T",IF(Ranking!$H10&gt;Ranking!$H16,"W","L")))</x:f>
        <x:v>W</x:v>
      </x:c>
      <x:c r="M10" s="50" t="str">
        <x:f>IF(10=17,"—",IF(Ranking!$H10=Ranking!$H17,"T",IF(Ranking!$H10&gt;Ranking!$H17,"W","L")))</x:f>
        <x:v>W</x:v>
      </x:c>
      <x:c r="N10" s="50" t="str">
        <x:f>IF(10=18,"—",IF(Ranking!$H10=Ranking!$H18,"T",IF(Ranking!$H10&gt;Ranking!$H18,"W","L")))</x:f>
        <x:v>W</x:v>
      </x:c>
      <x:c r="O10" s="50" t="str">
        <x:f>IF(10=19,"—",IF(Ranking!$H10=Ranking!$H19,"T",IF(Ranking!$H10&gt;Ranking!$H19,"W","L")))</x:f>
        <x:v>W</x:v>
      </x:c>
      <x:c r="P10" s="50" t="str">
        <x:f>IF(10=20,"—",IF(Ranking!$H10=Ranking!$H20,"T",IF(Ranking!$H10&gt;Ranking!$H20,"W","L")))</x:f>
        <x:v>W</x:v>
      </x:c>
      <x:c r="Q10" s="50" t="str">
        <x:f>IF(10=21,"—",IF(Ranking!$H10=Ranking!$H21,"T",IF(Ranking!$H10&gt;Ranking!$H21,"W","L")))</x:f>
        <x:v>W</x:v>
      </x:c>
      <x:c r="R10" s="50" t="str">
        <x:f>IF(10=22,"—",IF(Ranking!$H10=Ranking!$H22,"T",IF(Ranking!$H10&gt;Ranking!$H22,"W","L")))</x:f>
        <x:v>W</x:v>
      </x:c>
      <x:c r="S10" s="50" t="str">
        <x:f>IF(10=23,"—",IF(Ranking!$H10=Ranking!$H23,"T",IF(Ranking!$H10&gt;Ranking!$H23,"W","L")))</x:f>
        <x:v>W</x:v>
      </x:c>
      <x:c r="T10" s="50" t="str">
        <x:f>IF(10=24,"—",IF(Ranking!$H10=Ranking!$H24,"T",IF(Ranking!$H10&gt;Ranking!$H24,"W","L")))</x:f>
        <x:v>W</x:v>
      </x:c>
      <x:c r="U10" s="50" t="str">
        <x:f>IF(10=25,"—",IF(Ranking!$H10=Ranking!$H25,"T",IF(Ranking!$H10&gt;Ranking!$H25,"W","L")))</x:f>
        <x:v>W</x:v>
      </x:c>
      <x:c r="V10" s="50" t="str">
        <x:f>IF(10=26,"—",IF(Ranking!$H10=Ranking!$H26,"T",IF(Ranking!$H10&gt;Ranking!$H26,"W","L")))</x:f>
        <x:v>W</x:v>
      </x:c>
      <x:c r="W10" s="50" t="str">
        <x:f>IF(10=27,"—",IF(Ranking!$H10=Ranking!$H27,"T",IF(Ranking!$H10&gt;Ranking!$H27,"W","L")))</x:f>
        <x:v>W</x:v>
      </x:c>
      <x:c r="X10" s="50" t="str">
        <x:f>IF(10=28,"—",IF(Ranking!$H10=Ranking!$H28,"T",IF(Ranking!$H10&gt;Ranking!$H28,"W","L")))</x:f>
        <x:v>W</x:v>
      </x:c>
      <x:c r="Y10" s="50" t="str">
        <x:f>IF(10=29,"—",IF(Ranking!$H10=Ranking!$H29,"T",IF(Ranking!$H10&gt;Ranking!$H29,"W","L")))</x:f>
        <x:v>W</x:v>
      </x:c>
      <x:c r="Z10" s="50" t="str">
        <x:f>IF(10=30,"—",IF(Ranking!$H10=Ranking!$H30,"T",IF(Ranking!$H10&gt;Ranking!$H30,"W","L")))</x:f>
        <x:v>W</x:v>
      </x:c>
    </x:row>
    <x:row r="11" ht="32" customHeight="1">
      <x:c r="A11" s="15" t="str">
        <x:f>Ranking!B11</x:f>
        <x:v>Career Steering</x:v>
      </x:c>
      <x:c r="B11" s="50" t="str">
        <x:f>IF(11=6,"—",IF(Ranking!$H11=Ranking!$H6,"T",IF(Ranking!$H11&gt;Ranking!$H6,"W","L")))</x:f>
        <x:v>L</x:v>
      </x:c>
      <x:c r="C11" s="50" t="str">
        <x:f>IF(11=7,"—",IF(Ranking!$H11=Ranking!$H7,"T",IF(Ranking!$H11&gt;Ranking!$H7,"W","L")))</x:f>
        <x:v>L</x:v>
      </x:c>
      <x:c r="D11" s="50" t="str">
        <x:f>IF(11=8,"—",IF(Ranking!$H11=Ranking!$H8,"T",IF(Ranking!$H11&gt;Ranking!$H8,"W","L")))</x:f>
        <x:v>L</x:v>
      </x:c>
      <x:c r="E11" s="50" t="str">
        <x:f>IF(11=9,"—",IF(Ranking!$H11=Ranking!$H9,"T",IF(Ranking!$H11&gt;Ranking!$H9,"W","L")))</x:f>
        <x:v>L</x:v>
      </x:c>
      <x:c r="F11" s="50" t="str">
        <x:f>IF(11=10,"—",IF(Ranking!$H11=Ranking!$H10,"T",IF(Ranking!$H11&gt;Ranking!$H10,"W","L")))</x:f>
        <x:v>L</x:v>
      </x:c>
      <x:c r="G11" s="50" t="str">
        <x:f>IF(11=11,"—",IF(Ranking!$H11=Ranking!$H11,"T",IF(Ranking!$H11&gt;Ranking!$H11,"W","L")))</x:f>
        <x:v>—</x:v>
      </x:c>
      <x:c r="H11" s="50" t="str">
        <x:f>IF(11=12,"—",IF(Ranking!$H11=Ranking!$H12,"T",IF(Ranking!$H11&gt;Ranking!$H12,"W","L")))</x:f>
        <x:v>W</x:v>
      </x:c>
      <x:c r="I11" s="50" t="str">
        <x:f>IF(11=13,"—",IF(Ranking!$H11=Ranking!$H13,"T",IF(Ranking!$H11&gt;Ranking!$H13,"W","L")))</x:f>
        <x:v>W</x:v>
      </x:c>
      <x:c r="J11" s="50" t="str">
        <x:f>IF(11=14,"—",IF(Ranking!$H11=Ranking!$H14,"T",IF(Ranking!$H11&gt;Ranking!$H14,"W","L")))</x:f>
        <x:v>W</x:v>
      </x:c>
      <x:c r="K11" s="50" t="str">
        <x:f>IF(11=15,"—",IF(Ranking!$H11=Ranking!$H15,"T",IF(Ranking!$H11&gt;Ranking!$H15,"W","L")))</x:f>
        <x:v>W</x:v>
      </x:c>
      <x:c r="L11" s="50" t="str">
        <x:f>IF(11=16,"—",IF(Ranking!$H11=Ranking!$H16,"T",IF(Ranking!$H11&gt;Ranking!$H16,"W","L")))</x:f>
        <x:v>W</x:v>
      </x:c>
      <x:c r="M11" s="50" t="str">
        <x:f>IF(11=17,"—",IF(Ranking!$H11=Ranking!$H17,"T",IF(Ranking!$H11&gt;Ranking!$H17,"W","L")))</x:f>
        <x:v>W</x:v>
      </x:c>
      <x:c r="N11" s="50" t="str">
        <x:f>IF(11=18,"—",IF(Ranking!$H11=Ranking!$H18,"T",IF(Ranking!$H11&gt;Ranking!$H18,"W","L")))</x:f>
        <x:v>W</x:v>
      </x:c>
      <x:c r="O11" s="50" t="str">
        <x:f>IF(11=19,"—",IF(Ranking!$H11=Ranking!$H19,"T",IF(Ranking!$H11&gt;Ranking!$H19,"W","L")))</x:f>
        <x:v>W</x:v>
      </x:c>
      <x:c r="P11" s="50" t="str">
        <x:f>IF(11=20,"—",IF(Ranking!$H11=Ranking!$H20,"T",IF(Ranking!$H11&gt;Ranking!$H20,"W","L")))</x:f>
        <x:v>W</x:v>
      </x:c>
      <x:c r="Q11" s="50" t="str">
        <x:f>IF(11=21,"—",IF(Ranking!$H11=Ranking!$H21,"T",IF(Ranking!$H11&gt;Ranking!$H21,"W","L")))</x:f>
        <x:v>W</x:v>
      </x:c>
      <x:c r="R11" s="50" t="str">
        <x:f>IF(11=22,"—",IF(Ranking!$H11=Ranking!$H22,"T",IF(Ranking!$H11&gt;Ranking!$H22,"W","L")))</x:f>
        <x:v>W</x:v>
      </x:c>
      <x:c r="S11" s="50" t="str">
        <x:f>IF(11=23,"—",IF(Ranking!$H11=Ranking!$H23,"T",IF(Ranking!$H11&gt;Ranking!$H23,"W","L")))</x:f>
        <x:v>W</x:v>
      </x:c>
      <x:c r="T11" s="50" t="str">
        <x:f>IF(11=24,"—",IF(Ranking!$H11=Ranking!$H24,"T",IF(Ranking!$H11&gt;Ranking!$H24,"W","L")))</x:f>
        <x:v>W</x:v>
      </x:c>
      <x:c r="U11" s="50" t="str">
        <x:f>IF(11=25,"—",IF(Ranking!$H11=Ranking!$H25,"T",IF(Ranking!$H11&gt;Ranking!$H25,"W","L")))</x:f>
        <x:v>W</x:v>
      </x:c>
      <x:c r="V11" s="50" t="str">
        <x:f>IF(11=26,"—",IF(Ranking!$H11=Ranking!$H26,"T",IF(Ranking!$H11&gt;Ranking!$H26,"W","L")))</x:f>
        <x:v>W</x:v>
      </x:c>
      <x:c r="W11" s="50" t="str">
        <x:f>IF(11=27,"—",IF(Ranking!$H11=Ranking!$H27,"T",IF(Ranking!$H11&gt;Ranking!$H27,"W","L")))</x:f>
        <x:v>W</x:v>
      </x:c>
      <x:c r="X11" s="50" t="str">
        <x:f>IF(11=28,"—",IF(Ranking!$H11=Ranking!$H28,"T",IF(Ranking!$H11&gt;Ranking!$H28,"W","L")))</x:f>
        <x:v>W</x:v>
      </x:c>
      <x:c r="Y11" s="50" t="str">
        <x:f>IF(11=29,"—",IF(Ranking!$H11=Ranking!$H29,"T",IF(Ranking!$H11&gt;Ranking!$H29,"W","L")))</x:f>
        <x:v>W</x:v>
      </x:c>
      <x:c r="Z11" s="50" t="str">
        <x:f>IF(11=30,"—",IF(Ranking!$H11=Ranking!$H30,"T",IF(Ranking!$H11&gt;Ranking!$H30,"W","L")))</x:f>
        <x:v>W</x:v>
      </x:c>
    </x:row>
    <x:row r="12" ht="32" customHeight="1">
      <x:c r="A12" s="15" t="str">
        <x:f>Ranking!B12</x:f>
        <x:v>ResumeSpice</x:v>
      </x:c>
      <x:c r="B12" s="50" t="str">
        <x:f>IF(12=6,"—",IF(Ranking!$H12=Ranking!$H6,"T",IF(Ranking!$H12&gt;Ranking!$H6,"W","L")))</x:f>
        <x:v>L</x:v>
      </x:c>
      <x:c r="C12" s="50" t="str">
        <x:f>IF(12=7,"—",IF(Ranking!$H12=Ranking!$H7,"T",IF(Ranking!$H12&gt;Ranking!$H7,"W","L")))</x:f>
        <x:v>L</x:v>
      </x:c>
      <x:c r="D12" s="50" t="str">
        <x:f>IF(12=8,"—",IF(Ranking!$H12=Ranking!$H8,"T",IF(Ranking!$H12&gt;Ranking!$H8,"W","L")))</x:f>
        <x:v>L</x:v>
      </x:c>
      <x:c r="E12" s="50" t="str">
        <x:f>IF(12=9,"—",IF(Ranking!$H12=Ranking!$H9,"T",IF(Ranking!$H12&gt;Ranking!$H9,"W","L")))</x:f>
        <x:v>L</x:v>
      </x:c>
      <x:c r="F12" s="50" t="str">
        <x:f>IF(12=10,"—",IF(Ranking!$H12=Ranking!$H10,"T",IF(Ranking!$H12&gt;Ranking!$H10,"W","L")))</x:f>
        <x:v>L</x:v>
      </x:c>
      <x:c r="G12" s="50" t="str">
        <x:f>IF(12=11,"—",IF(Ranking!$H12=Ranking!$H11,"T",IF(Ranking!$H12&gt;Ranking!$H11,"W","L")))</x:f>
        <x:v>L</x:v>
      </x:c>
      <x:c r="H12" s="50" t="str">
        <x:f>IF(12=12,"—",IF(Ranking!$H12=Ranking!$H12,"T",IF(Ranking!$H12&gt;Ranking!$H12,"W","L")))</x:f>
        <x:v>—</x:v>
      </x:c>
      <x:c r="I12" s="50" t="str">
        <x:f>IF(12=13,"—",IF(Ranking!$H12=Ranking!$H13,"T",IF(Ranking!$H12&gt;Ranking!$H13,"W","L")))</x:f>
        <x:v>W</x:v>
      </x:c>
      <x:c r="J12" s="50" t="str">
        <x:f>IF(12=14,"—",IF(Ranking!$H12=Ranking!$H14,"T",IF(Ranking!$H12&gt;Ranking!$H14,"W","L")))</x:f>
        <x:v>W</x:v>
      </x:c>
      <x:c r="K12" s="50" t="str">
        <x:f>IF(12=15,"—",IF(Ranking!$H12=Ranking!$H15,"T",IF(Ranking!$H12&gt;Ranking!$H15,"W","L")))</x:f>
        <x:v>W</x:v>
      </x:c>
      <x:c r="L12" s="50" t="str">
        <x:f>IF(12=16,"—",IF(Ranking!$H12=Ranking!$H16,"T",IF(Ranking!$H12&gt;Ranking!$H16,"W","L")))</x:f>
        <x:v>W</x:v>
      </x:c>
      <x:c r="M12" s="50" t="str">
        <x:f>IF(12=17,"—",IF(Ranking!$H12=Ranking!$H17,"T",IF(Ranking!$H12&gt;Ranking!$H17,"W","L")))</x:f>
        <x:v>W</x:v>
      </x:c>
      <x:c r="N12" s="50" t="str">
        <x:f>IF(12=18,"—",IF(Ranking!$H12=Ranking!$H18,"T",IF(Ranking!$H12&gt;Ranking!$H18,"W","L")))</x:f>
        <x:v>W</x:v>
      </x:c>
      <x:c r="O12" s="50" t="str">
        <x:f>IF(12=19,"—",IF(Ranking!$H12=Ranking!$H19,"T",IF(Ranking!$H12&gt;Ranking!$H19,"W","L")))</x:f>
        <x:v>W</x:v>
      </x:c>
      <x:c r="P12" s="50" t="str">
        <x:f>IF(12=20,"—",IF(Ranking!$H12=Ranking!$H20,"T",IF(Ranking!$H12&gt;Ranking!$H20,"W","L")))</x:f>
        <x:v>W</x:v>
      </x:c>
      <x:c r="Q12" s="50" t="str">
        <x:f>IF(12=21,"—",IF(Ranking!$H12=Ranking!$H21,"T",IF(Ranking!$H12&gt;Ranking!$H21,"W","L")))</x:f>
        <x:v>W</x:v>
      </x:c>
      <x:c r="R12" s="50" t="str">
        <x:f>IF(12=22,"—",IF(Ranking!$H12=Ranking!$H22,"T",IF(Ranking!$H12&gt;Ranking!$H22,"W","L")))</x:f>
        <x:v>W</x:v>
      </x:c>
      <x:c r="S12" s="50" t="str">
        <x:f>IF(12=23,"—",IF(Ranking!$H12=Ranking!$H23,"T",IF(Ranking!$H12&gt;Ranking!$H23,"W","L")))</x:f>
        <x:v>W</x:v>
      </x:c>
      <x:c r="T12" s="50" t="str">
        <x:f>IF(12=24,"—",IF(Ranking!$H12=Ranking!$H24,"T",IF(Ranking!$H12&gt;Ranking!$H24,"W","L")))</x:f>
        <x:v>W</x:v>
      </x:c>
      <x:c r="U12" s="50" t="str">
        <x:f>IF(12=25,"—",IF(Ranking!$H12=Ranking!$H25,"T",IF(Ranking!$H12&gt;Ranking!$H25,"W","L")))</x:f>
        <x:v>W</x:v>
      </x:c>
      <x:c r="V12" s="50" t="str">
        <x:f>IF(12=26,"—",IF(Ranking!$H12=Ranking!$H26,"T",IF(Ranking!$H12&gt;Ranking!$H26,"W","L")))</x:f>
        <x:v>W</x:v>
      </x:c>
      <x:c r="W12" s="50" t="str">
        <x:f>IF(12=27,"—",IF(Ranking!$H12=Ranking!$H27,"T",IF(Ranking!$H12&gt;Ranking!$H27,"W","L")))</x:f>
        <x:v>W</x:v>
      </x:c>
      <x:c r="X12" s="50" t="str">
        <x:f>IF(12=28,"—",IF(Ranking!$H12=Ranking!$H28,"T",IF(Ranking!$H12&gt;Ranking!$H28,"W","L")))</x:f>
        <x:v>W</x:v>
      </x:c>
      <x:c r="Y12" s="50" t="str">
        <x:f>IF(12=29,"—",IF(Ranking!$H12=Ranking!$H29,"T",IF(Ranking!$H12&gt;Ranking!$H29,"W","L")))</x:f>
        <x:v>W</x:v>
      </x:c>
      <x:c r="Z12" s="50" t="str">
        <x:f>IF(12=30,"—",IF(Ranking!$H12=Ranking!$H30,"T",IF(Ranking!$H12&gt;Ranking!$H30,"W","L")))</x:f>
        <x:v>W</x:v>
      </x:c>
    </x:row>
    <x:row r="13" ht="32" customHeight="1">
      <x:c r="A13" s="15" t="str">
        <x:f>Ranking!B13</x:f>
        <x:v>Find My Profession</x:v>
      </x:c>
      <x:c r="B13" s="50" t="str">
        <x:f>IF(13=6,"—",IF(Ranking!$H13=Ranking!$H6,"T",IF(Ranking!$H13&gt;Ranking!$H6,"W","L")))</x:f>
        <x:v>L</x:v>
      </x:c>
      <x:c r="C13" s="50" t="str">
        <x:f>IF(13=7,"—",IF(Ranking!$H13=Ranking!$H7,"T",IF(Ranking!$H13&gt;Ranking!$H7,"W","L")))</x:f>
        <x:v>L</x:v>
      </x:c>
      <x:c r="D13" s="50" t="str">
        <x:f>IF(13=8,"—",IF(Ranking!$H13=Ranking!$H8,"T",IF(Ranking!$H13&gt;Ranking!$H8,"W","L")))</x:f>
        <x:v>L</x:v>
      </x:c>
      <x:c r="E13" s="50" t="str">
        <x:f>IF(13=9,"—",IF(Ranking!$H13=Ranking!$H9,"T",IF(Ranking!$H13&gt;Ranking!$H9,"W","L")))</x:f>
        <x:v>L</x:v>
      </x:c>
      <x:c r="F13" s="50" t="str">
        <x:f>IF(13=10,"—",IF(Ranking!$H13=Ranking!$H10,"T",IF(Ranking!$H13&gt;Ranking!$H10,"W","L")))</x:f>
        <x:v>L</x:v>
      </x:c>
      <x:c r="G13" s="50" t="str">
        <x:f>IF(13=11,"—",IF(Ranking!$H13=Ranking!$H11,"T",IF(Ranking!$H13&gt;Ranking!$H11,"W","L")))</x:f>
        <x:v>L</x:v>
      </x:c>
      <x:c r="H13" s="50" t="str">
        <x:f>IF(13=12,"—",IF(Ranking!$H13=Ranking!$H12,"T",IF(Ranking!$H13&gt;Ranking!$H12,"W","L")))</x:f>
        <x:v>L</x:v>
      </x:c>
      <x:c r="I13" s="50" t="str">
        <x:f>IF(13=13,"—",IF(Ranking!$H13=Ranking!$H13,"T",IF(Ranking!$H13&gt;Ranking!$H13,"W","L")))</x:f>
        <x:v>—</x:v>
      </x:c>
      <x:c r="J13" s="50" t="str">
        <x:f>IF(13=14,"—",IF(Ranking!$H13=Ranking!$H14,"T",IF(Ranking!$H13&gt;Ranking!$H14,"W","L")))</x:f>
        <x:v>W</x:v>
      </x:c>
      <x:c r="K13" s="50" t="str">
        <x:f>IF(13=15,"—",IF(Ranking!$H13=Ranking!$H15,"T",IF(Ranking!$H13&gt;Ranking!$H15,"W","L")))</x:f>
        <x:v>W</x:v>
      </x:c>
      <x:c r="L13" s="50" t="str">
        <x:f>IF(13=16,"—",IF(Ranking!$H13=Ranking!$H16,"T",IF(Ranking!$H13&gt;Ranking!$H16,"W","L")))</x:f>
        <x:v>W</x:v>
      </x:c>
      <x:c r="M13" s="50" t="str">
        <x:f>IF(13=17,"—",IF(Ranking!$H13=Ranking!$H17,"T",IF(Ranking!$H13&gt;Ranking!$H17,"W","L")))</x:f>
        <x:v>W</x:v>
      </x:c>
      <x:c r="N13" s="50" t="str">
        <x:f>IF(13=18,"—",IF(Ranking!$H13=Ranking!$H18,"T",IF(Ranking!$H13&gt;Ranking!$H18,"W","L")))</x:f>
        <x:v>W</x:v>
      </x:c>
      <x:c r="O13" s="50" t="str">
        <x:f>IF(13=19,"—",IF(Ranking!$H13=Ranking!$H19,"T",IF(Ranking!$H13&gt;Ranking!$H19,"W","L")))</x:f>
        <x:v>W</x:v>
      </x:c>
      <x:c r="P13" s="50" t="str">
        <x:f>IF(13=20,"—",IF(Ranking!$H13=Ranking!$H20,"T",IF(Ranking!$H13&gt;Ranking!$H20,"W","L")))</x:f>
        <x:v>W</x:v>
      </x:c>
      <x:c r="Q13" s="50" t="str">
        <x:f>IF(13=21,"—",IF(Ranking!$H13=Ranking!$H21,"T",IF(Ranking!$H13&gt;Ranking!$H21,"W","L")))</x:f>
        <x:v>W</x:v>
      </x:c>
      <x:c r="R13" s="50" t="str">
        <x:f>IF(13=22,"—",IF(Ranking!$H13=Ranking!$H22,"T",IF(Ranking!$H13&gt;Ranking!$H22,"W","L")))</x:f>
        <x:v>W</x:v>
      </x:c>
      <x:c r="S13" s="50" t="str">
        <x:f>IF(13=23,"—",IF(Ranking!$H13=Ranking!$H23,"T",IF(Ranking!$H13&gt;Ranking!$H23,"W","L")))</x:f>
        <x:v>W</x:v>
      </x:c>
      <x:c r="T13" s="50" t="str">
        <x:f>IF(13=24,"—",IF(Ranking!$H13=Ranking!$H24,"T",IF(Ranking!$H13&gt;Ranking!$H24,"W","L")))</x:f>
        <x:v>W</x:v>
      </x:c>
      <x:c r="U13" s="50" t="str">
        <x:f>IF(13=25,"—",IF(Ranking!$H13=Ranking!$H25,"T",IF(Ranking!$H13&gt;Ranking!$H25,"W","L")))</x:f>
        <x:v>W</x:v>
      </x:c>
      <x:c r="V13" s="50" t="str">
        <x:f>IF(13=26,"—",IF(Ranking!$H13=Ranking!$H26,"T",IF(Ranking!$H13&gt;Ranking!$H26,"W","L")))</x:f>
        <x:v>W</x:v>
      </x:c>
      <x:c r="W13" s="50" t="str">
        <x:f>IF(13=27,"—",IF(Ranking!$H13=Ranking!$H27,"T",IF(Ranking!$H13&gt;Ranking!$H27,"W","L")))</x:f>
        <x:v>W</x:v>
      </x:c>
      <x:c r="X13" s="50" t="str">
        <x:f>IF(13=28,"—",IF(Ranking!$H13=Ranking!$H28,"T",IF(Ranking!$H13&gt;Ranking!$H28,"W","L")))</x:f>
        <x:v>W</x:v>
      </x:c>
      <x:c r="Y13" s="50" t="str">
        <x:f>IF(13=29,"—",IF(Ranking!$H13=Ranking!$H29,"T",IF(Ranking!$H13&gt;Ranking!$H29,"W","L")))</x:f>
        <x:v>W</x:v>
      </x:c>
      <x:c r="Z13" s="50" t="str">
        <x:f>IF(13=30,"—",IF(Ranking!$H13=Ranking!$H30,"T",IF(Ranking!$H13&gt;Ranking!$H30,"W","L")))</x:f>
        <x:v>W</x:v>
      </x:c>
    </x:row>
    <x:row r="14" ht="32" customHeight="1">
      <x:c r="A14" s="15" t="str">
        <x:f>Ranking!B14</x:f>
        <x:v>Employment BOOST</x:v>
      </x:c>
      <x:c r="B14" s="50" t="str">
        <x:f>IF(14=6,"—",IF(Ranking!$H14=Ranking!$H6,"T",IF(Ranking!$H14&gt;Ranking!$H6,"W","L")))</x:f>
        <x:v>L</x:v>
      </x:c>
      <x:c r="C14" s="50" t="str">
        <x:f>IF(14=7,"—",IF(Ranking!$H14=Ranking!$H7,"T",IF(Ranking!$H14&gt;Ranking!$H7,"W","L")))</x:f>
        <x:v>L</x:v>
      </x:c>
      <x:c r="D14" s="50" t="str">
        <x:f>IF(14=8,"—",IF(Ranking!$H14=Ranking!$H8,"T",IF(Ranking!$H14&gt;Ranking!$H8,"W","L")))</x:f>
        <x:v>L</x:v>
      </x:c>
      <x:c r="E14" s="50" t="str">
        <x:f>IF(14=9,"—",IF(Ranking!$H14=Ranking!$H9,"T",IF(Ranking!$H14&gt;Ranking!$H9,"W","L")))</x:f>
        <x:v>L</x:v>
      </x:c>
      <x:c r="F14" s="50" t="str">
        <x:f>IF(14=10,"—",IF(Ranking!$H14=Ranking!$H10,"T",IF(Ranking!$H14&gt;Ranking!$H10,"W","L")))</x:f>
        <x:v>L</x:v>
      </x:c>
      <x:c r="G14" s="50" t="str">
        <x:f>IF(14=11,"—",IF(Ranking!$H14=Ranking!$H11,"T",IF(Ranking!$H14&gt;Ranking!$H11,"W","L")))</x:f>
        <x:v>L</x:v>
      </x:c>
      <x:c r="H14" s="50" t="str">
        <x:f>IF(14=12,"—",IF(Ranking!$H14=Ranking!$H12,"T",IF(Ranking!$H14&gt;Ranking!$H12,"W","L")))</x:f>
        <x:v>L</x:v>
      </x:c>
      <x:c r="I14" s="50" t="str">
        <x:f>IF(14=13,"—",IF(Ranking!$H14=Ranking!$H13,"T",IF(Ranking!$H14&gt;Ranking!$H13,"W","L")))</x:f>
        <x:v>L</x:v>
      </x:c>
      <x:c r="J14" s="50" t="str">
        <x:f>IF(14=14,"—",IF(Ranking!$H14=Ranking!$H14,"T",IF(Ranking!$H14&gt;Ranking!$H14,"W","L")))</x:f>
        <x:v>—</x:v>
      </x:c>
      <x:c r="K14" s="50" t="str">
        <x:f>IF(14=15,"—",IF(Ranking!$H14=Ranking!$H15,"T",IF(Ranking!$H14&gt;Ranking!$H15,"W","L")))</x:f>
        <x:v>T</x:v>
      </x:c>
      <x:c r="L14" s="50" t="str">
        <x:f>IF(14=16,"—",IF(Ranking!$H14=Ranking!$H16,"T",IF(Ranking!$H14&gt;Ranking!$H16,"W","L")))</x:f>
        <x:v>T</x:v>
      </x:c>
      <x:c r="M14" s="50" t="str">
        <x:f>IF(14=17,"—",IF(Ranking!$H14=Ranking!$H17,"T",IF(Ranking!$H14&gt;Ranking!$H17,"W","L")))</x:f>
        <x:v>T</x:v>
      </x:c>
      <x:c r="N14" s="50" t="str">
        <x:f>IF(14=18,"—",IF(Ranking!$H14=Ranking!$H18,"T",IF(Ranking!$H14&gt;Ranking!$H18,"W","L")))</x:f>
        <x:v>W</x:v>
      </x:c>
      <x:c r="O14" s="50" t="str">
        <x:f>IF(14=19,"—",IF(Ranking!$H14=Ranking!$H19,"T",IF(Ranking!$H14&gt;Ranking!$H19,"W","L")))</x:f>
        <x:v>W</x:v>
      </x:c>
      <x:c r="P14" s="50" t="str">
        <x:f>IF(14=20,"—",IF(Ranking!$H14=Ranking!$H20,"T",IF(Ranking!$H14&gt;Ranking!$H20,"W","L")))</x:f>
        <x:v>W</x:v>
      </x:c>
      <x:c r="Q14" s="50" t="str">
        <x:f>IF(14=21,"—",IF(Ranking!$H14=Ranking!$H21,"T",IF(Ranking!$H14&gt;Ranking!$H21,"W","L")))</x:f>
        <x:v>W</x:v>
      </x:c>
      <x:c r="R14" s="50" t="str">
        <x:f>IF(14=22,"—",IF(Ranking!$H14=Ranking!$H22,"T",IF(Ranking!$H14&gt;Ranking!$H22,"W","L")))</x:f>
        <x:v>W</x:v>
      </x:c>
      <x:c r="S14" s="50" t="str">
        <x:f>IF(14=23,"—",IF(Ranking!$H14=Ranking!$H23,"T",IF(Ranking!$H14&gt;Ranking!$H23,"W","L")))</x:f>
        <x:v>W</x:v>
      </x:c>
      <x:c r="T14" s="50" t="str">
        <x:f>IF(14=24,"—",IF(Ranking!$H14=Ranking!$H24,"T",IF(Ranking!$H14&gt;Ranking!$H24,"W","L")))</x:f>
        <x:v>W</x:v>
      </x:c>
      <x:c r="U14" s="50" t="str">
        <x:f>IF(14=25,"—",IF(Ranking!$H14=Ranking!$H25,"T",IF(Ranking!$H14&gt;Ranking!$H25,"W","L")))</x:f>
        <x:v>W</x:v>
      </x:c>
      <x:c r="V14" s="50" t="str">
        <x:f>IF(14=26,"—",IF(Ranking!$H14=Ranking!$H26,"T",IF(Ranking!$H14&gt;Ranking!$H26,"W","L")))</x:f>
        <x:v>W</x:v>
      </x:c>
      <x:c r="W14" s="50" t="str">
        <x:f>IF(14=27,"—",IF(Ranking!$H14=Ranking!$H27,"T",IF(Ranking!$H14&gt;Ranking!$H27,"W","L")))</x:f>
        <x:v>W</x:v>
      </x:c>
      <x:c r="X14" s="50" t="str">
        <x:f>IF(14=28,"—",IF(Ranking!$H14=Ranking!$H28,"T",IF(Ranking!$H14&gt;Ranking!$H28,"W","L")))</x:f>
        <x:v>W</x:v>
      </x:c>
      <x:c r="Y14" s="50" t="str">
        <x:f>IF(14=29,"—",IF(Ranking!$H14=Ranking!$H29,"T",IF(Ranking!$H14&gt;Ranking!$H29,"W","L")))</x:f>
        <x:v>W</x:v>
      </x:c>
      <x:c r="Z14" s="50" t="str">
        <x:f>IF(14=30,"—",IF(Ranking!$H14=Ranking!$H30,"T",IF(Ranking!$H14&gt;Ranking!$H30,"W","L")))</x:f>
        <x:v>W</x:v>
      </x:c>
    </x:row>
    <x:row r="15" ht="32" customHeight="1">
      <x:c r="A15" s="15" t="str">
        <x:f>Ranking!B15</x:f>
        <x:v>JobStars USA</x:v>
      </x:c>
      <x:c r="B15" s="50" t="str">
        <x:f>IF(15=6,"—",IF(Ranking!$H15=Ranking!$H6,"T",IF(Ranking!$H15&gt;Ranking!$H6,"W","L")))</x:f>
        <x:v>L</x:v>
      </x:c>
      <x:c r="C15" s="50" t="str">
        <x:f>IF(15=7,"—",IF(Ranking!$H15=Ranking!$H7,"T",IF(Ranking!$H15&gt;Ranking!$H7,"W","L")))</x:f>
        <x:v>L</x:v>
      </x:c>
      <x:c r="D15" s="50" t="str">
        <x:f>IF(15=8,"—",IF(Ranking!$H15=Ranking!$H8,"T",IF(Ranking!$H15&gt;Ranking!$H8,"W","L")))</x:f>
        <x:v>L</x:v>
      </x:c>
      <x:c r="E15" s="50" t="str">
        <x:f>IF(15=9,"—",IF(Ranking!$H15=Ranking!$H9,"T",IF(Ranking!$H15&gt;Ranking!$H9,"W","L")))</x:f>
        <x:v>L</x:v>
      </x:c>
      <x:c r="F15" s="50" t="str">
        <x:f>IF(15=10,"—",IF(Ranking!$H15=Ranking!$H10,"T",IF(Ranking!$H15&gt;Ranking!$H10,"W","L")))</x:f>
        <x:v>L</x:v>
      </x:c>
      <x:c r="G15" s="50" t="str">
        <x:f>IF(15=11,"—",IF(Ranking!$H15=Ranking!$H11,"T",IF(Ranking!$H15&gt;Ranking!$H11,"W","L")))</x:f>
        <x:v>L</x:v>
      </x:c>
      <x:c r="H15" s="50" t="str">
        <x:f>IF(15=12,"—",IF(Ranking!$H15=Ranking!$H12,"T",IF(Ranking!$H15&gt;Ranking!$H12,"W","L")))</x:f>
        <x:v>L</x:v>
      </x:c>
      <x:c r="I15" s="50" t="str">
        <x:f>IF(15=13,"—",IF(Ranking!$H15=Ranking!$H13,"T",IF(Ranking!$H15&gt;Ranking!$H13,"W","L")))</x:f>
        <x:v>L</x:v>
      </x:c>
      <x:c r="J15" s="50" t="str">
        <x:f>IF(15=14,"—",IF(Ranking!$H15=Ranking!$H14,"T",IF(Ranking!$H15&gt;Ranking!$H14,"W","L")))</x:f>
        <x:v>T</x:v>
      </x:c>
      <x:c r="K15" s="50" t="str">
        <x:f>IF(15=15,"—",IF(Ranking!$H15=Ranking!$H15,"T",IF(Ranking!$H15&gt;Ranking!$H15,"W","L")))</x:f>
        <x:v>—</x:v>
      </x:c>
      <x:c r="L15" s="50" t="str">
        <x:f>IF(15=16,"—",IF(Ranking!$H15=Ranking!$H16,"T",IF(Ranking!$H15&gt;Ranking!$H16,"W","L")))</x:f>
        <x:v>T</x:v>
      </x:c>
      <x:c r="M15" s="50" t="str">
        <x:f>IF(15=17,"—",IF(Ranking!$H15=Ranking!$H17,"T",IF(Ranking!$H15&gt;Ranking!$H17,"W","L")))</x:f>
        <x:v>T</x:v>
      </x:c>
      <x:c r="N15" s="50" t="str">
        <x:f>IF(15=18,"—",IF(Ranking!$H15=Ranking!$H18,"T",IF(Ranking!$H15&gt;Ranking!$H18,"W","L")))</x:f>
        <x:v>W</x:v>
      </x:c>
      <x:c r="O15" s="50" t="str">
        <x:f>IF(15=19,"—",IF(Ranking!$H15=Ranking!$H19,"T",IF(Ranking!$H15&gt;Ranking!$H19,"W","L")))</x:f>
        <x:v>W</x:v>
      </x:c>
      <x:c r="P15" s="50" t="str">
        <x:f>IF(15=20,"—",IF(Ranking!$H15=Ranking!$H20,"T",IF(Ranking!$H15&gt;Ranking!$H20,"W","L")))</x:f>
        <x:v>W</x:v>
      </x:c>
      <x:c r="Q15" s="50" t="str">
        <x:f>IF(15=21,"—",IF(Ranking!$H15=Ranking!$H21,"T",IF(Ranking!$H15&gt;Ranking!$H21,"W","L")))</x:f>
        <x:v>W</x:v>
      </x:c>
      <x:c r="R15" s="50" t="str">
        <x:f>IF(15=22,"—",IF(Ranking!$H15=Ranking!$H22,"T",IF(Ranking!$H15&gt;Ranking!$H22,"W","L")))</x:f>
        <x:v>W</x:v>
      </x:c>
      <x:c r="S15" s="50" t="str">
        <x:f>IF(15=23,"—",IF(Ranking!$H15=Ranking!$H23,"T",IF(Ranking!$H15&gt;Ranking!$H23,"W","L")))</x:f>
        <x:v>W</x:v>
      </x:c>
      <x:c r="T15" s="50" t="str">
        <x:f>IF(15=24,"—",IF(Ranking!$H15=Ranking!$H24,"T",IF(Ranking!$H15&gt;Ranking!$H24,"W","L")))</x:f>
        <x:v>W</x:v>
      </x:c>
      <x:c r="U15" s="50" t="str">
        <x:f>IF(15=25,"—",IF(Ranking!$H15=Ranking!$H25,"T",IF(Ranking!$H15&gt;Ranking!$H25,"W","L")))</x:f>
        <x:v>W</x:v>
      </x:c>
      <x:c r="V15" s="50" t="str">
        <x:f>IF(15=26,"—",IF(Ranking!$H15=Ranking!$H26,"T",IF(Ranking!$H15&gt;Ranking!$H26,"W","L")))</x:f>
        <x:v>W</x:v>
      </x:c>
      <x:c r="W15" s="50" t="str">
        <x:f>IF(15=27,"—",IF(Ranking!$H15=Ranking!$H27,"T",IF(Ranking!$H15&gt;Ranking!$H27,"W","L")))</x:f>
        <x:v>W</x:v>
      </x:c>
      <x:c r="X15" s="50" t="str">
        <x:f>IF(15=28,"—",IF(Ranking!$H15=Ranking!$H28,"T",IF(Ranking!$H15&gt;Ranking!$H28,"W","L")))</x:f>
        <x:v>W</x:v>
      </x:c>
      <x:c r="Y15" s="50" t="str">
        <x:f>IF(15=29,"—",IF(Ranking!$H15=Ranking!$H29,"T",IF(Ranking!$H15&gt;Ranking!$H29,"W","L")))</x:f>
        <x:v>W</x:v>
      </x:c>
      <x:c r="Z15" s="50" t="str">
        <x:f>IF(15=30,"—",IF(Ranking!$H15=Ranking!$H30,"T",IF(Ranking!$H15&gt;Ranking!$H30,"W","L")))</x:f>
        <x:v>W</x:v>
      </x:c>
    </x:row>
    <x:row r="16" ht="32" customHeight="1">
      <x:c r="A16" s="15" t="str">
        <x:f>Ranking!B16</x:f>
        <x:v>Great Resumes Fast</x:v>
      </x:c>
      <x:c r="B16" s="50" t="str">
        <x:f>IF(16=6,"—",IF(Ranking!$H16=Ranking!$H6,"T",IF(Ranking!$H16&gt;Ranking!$H6,"W","L")))</x:f>
        <x:v>L</x:v>
      </x:c>
      <x:c r="C16" s="50" t="str">
        <x:f>IF(16=7,"—",IF(Ranking!$H16=Ranking!$H7,"T",IF(Ranking!$H16&gt;Ranking!$H7,"W","L")))</x:f>
        <x:v>L</x:v>
      </x:c>
      <x:c r="D16" s="50" t="str">
        <x:f>IF(16=8,"—",IF(Ranking!$H16=Ranking!$H8,"T",IF(Ranking!$H16&gt;Ranking!$H8,"W","L")))</x:f>
        <x:v>L</x:v>
      </x:c>
      <x:c r="E16" s="50" t="str">
        <x:f>IF(16=9,"—",IF(Ranking!$H16=Ranking!$H9,"T",IF(Ranking!$H16&gt;Ranking!$H9,"W","L")))</x:f>
        <x:v>L</x:v>
      </x:c>
      <x:c r="F16" s="50" t="str">
        <x:f>IF(16=10,"—",IF(Ranking!$H16=Ranking!$H10,"T",IF(Ranking!$H16&gt;Ranking!$H10,"W","L")))</x:f>
        <x:v>L</x:v>
      </x:c>
      <x:c r="G16" s="50" t="str">
        <x:f>IF(16=11,"—",IF(Ranking!$H16=Ranking!$H11,"T",IF(Ranking!$H16&gt;Ranking!$H11,"W","L")))</x:f>
        <x:v>L</x:v>
      </x:c>
      <x:c r="H16" s="50" t="str">
        <x:f>IF(16=12,"—",IF(Ranking!$H16=Ranking!$H12,"T",IF(Ranking!$H16&gt;Ranking!$H12,"W","L")))</x:f>
        <x:v>L</x:v>
      </x:c>
      <x:c r="I16" s="50" t="str">
        <x:f>IF(16=13,"—",IF(Ranking!$H16=Ranking!$H13,"T",IF(Ranking!$H16&gt;Ranking!$H13,"W","L")))</x:f>
        <x:v>L</x:v>
      </x:c>
      <x:c r="J16" s="50" t="str">
        <x:f>IF(16=14,"—",IF(Ranking!$H16=Ranking!$H14,"T",IF(Ranking!$H16&gt;Ranking!$H14,"W","L")))</x:f>
        <x:v>T</x:v>
      </x:c>
      <x:c r="K16" s="50" t="str">
        <x:f>IF(16=15,"—",IF(Ranking!$H16=Ranking!$H15,"T",IF(Ranking!$H16&gt;Ranking!$H15,"W","L")))</x:f>
        <x:v>T</x:v>
      </x:c>
      <x:c r="L16" s="50" t="str">
        <x:f>IF(16=16,"—",IF(Ranking!$H16=Ranking!$H16,"T",IF(Ranking!$H16&gt;Ranking!$H16,"W","L")))</x:f>
        <x:v>—</x:v>
      </x:c>
      <x:c r="M16" s="50" t="str">
        <x:f>IF(16=17,"—",IF(Ranking!$H16=Ranking!$H17,"T",IF(Ranking!$H16&gt;Ranking!$H17,"W","L")))</x:f>
        <x:v>T</x:v>
      </x:c>
      <x:c r="N16" s="50" t="str">
        <x:f>IF(16=18,"—",IF(Ranking!$H16=Ranking!$H18,"T",IF(Ranking!$H16&gt;Ranking!$H18,"W","L")))</x:f>
        <x:v>W</x:v>
      </x:c>
      <x:c r="O16" s="50" t="str">
        <x:f>IF(16=19,"—",IF(Ranking!$H16=Ranking!$H19,"T",IF(Ranking!$H16&gt;Ranking!$H19,"W","L")))</x:f>
        <x:v>W</x:v>
      </x:c>
      <x:c r="P16" s="50" t="str">
        <x:f>IF(16=20,"—",IF(Ranking!$H16=Ranking!$H20,"T",IF(Ranking!$H16&gt;Ranking!$H20,"W","L")))</x:f>
        <x:v>W</x:v>
      </x:c>
      <x:c r="Q16" s="50" t="str">
        <x:f>IF(16=21,"—",IF(Ranking!$H16=Ranking!$H21,"T",IF(Ranking!$H16&gt;Ranking!$H21,"W","L")))</x:f>
        <x:v>W</x:v>
      </x:c>
      <x:c r="R16" s="50" t="str">
        <x:f>IF(16=22,"—",IF(Ranking!$H16=Ranking!$H22,"T",IF(Ranking!$H16&gt;Ranking!$H22,"W","L")))</x:f>
        <x:v>W</x:v>
      </x:c>
      <x:c r="S16" s="50" t="str">
        <x:f>IF(16=23,"—",IF(Ranking!$H16=Ranking!$H23,"T",IF(Ranking!$H16&gt;Ranking!$H23,"W","L")))</x:f>
        <x:v>W</x:v>
      </x:c>
      <x:c r="T16" s="50" t="str">
        <x:f>IF(16=24,"—",IF(Ranking!$H16=Ranking!$H24,"T",IF(Ranking!$H16&gt;Ranking!$H24,"W","L")))</x:f>
        <x:v>W</x:v>
      </x:c>
      <x:c r="U16" s="50" t="str">
        <x:f>IF(16=25,"—",IF(Ranking!$H16=Ranking!$H25,"T",IF(Ranking!$H16&gt;Ranking!$H25,"W","L")))</x:f>
        <x:v>W</x:v>
      </x:c>
      <x:c r="V16" s="50" t="str">
        <x:f>IF(16=26,"—",IF(Ranking!$H16=Ranking!$H26,"T",IF(Ranking!$H16&gt;Ranking!$H26,"W","L")))</x:f>
        <x:v>W</x:v>
      </x:c>
      <x:c r="W16" s="50" t="str">
        <x:f>IF(16=27,"—",IF(Ranking!$H16=Ranking!$H27,"T",IF(Ranking!$H16&gt;Ranking!$H27,"W","L")))</x:f>
        <x:v>W</x:v>
      </x:c>
      <x:c r="X16" s="50" t="str">
        <x:f>IF(16=28,"—",IF(Ranking!$H16=Ranking!$H28,"T",IF(Ranking!$H16&gt;Ranking!$H28,"W","L")))</x:f>
        <x:v>W</x:v>
      </x:c>
      <x:c r="Y16" s="50" t="str">
        <x:f>IF(16=29,"—",IF(Ranking!$H16=Ranking!$H29,"T",IF(Ranking!$H16&gt;Ranking!$H29,"W","L")))</x:f>
        <x:v>W</x:v>
      </x:c>
      <x:c r="Z16" s="50" t="str">
        <x:f>IF(16=30,"—",IF(Ranking!$H16=Ranking!$H30,"T",IF(Ranking!$H16&gt;Ranking!$H30,"W","L")))</x:f>
        <x:v>W</x:v>
      </x:c>
    </x:row>
    <x:row r="17" ht="32" customHeight="1">
      <x:c r="A17" s="15" t="str">
        <x:f>Ranking!B17</x:f>
        <x:v>iCareerSolutions</x:v>
      </x:c>
      <x:c r="B17" s="50" t="str">
        <x:f>IF(17=6,"—",IF(Ranking!$H17=Ranking!$H6,"T",IF(Ranking!$H17&gt;Ranking!$H6,"W","L")))</x:f>
        <x:v>L</x:v>
      </x:c>
      <x:c r="C17" s="50" t="str">
        <x:f>IF(17=7,"—",IF(Ranking!$H17=Ranking!$H7,"T",IF(Ranking!$H17&gt;Ranking!$H7,"W","L")))</x:f>
        <x:v>L</x:v>
      </x:c>
      <x:c r="D17" s="50" t="str">
        <x:f>IF(17=8,"—",IF(Ranking!$H17=Ranking!$H8,"T",IF(Ranking!$H17&gt;Ranking!$H8,"W","L")))</x:f>
        <x:v>L</x:v>
      </x:c>
      <x:c r="E17" s="50" t="str">
        <x:f>IF(17=9,"—",IF(Ranking!$H17=Ranking!$H9,"T",IF(Ranking!$H17&gt;Ranking!$H9,"W","L")))</x:f>
        <x:v>L</x:v>
      </x:c>
      <x:c r="F17" s="50" t="str">
        <x:f>IF(17=10,"—",IF(Ranking!$H17=Ranking!$H10,"T",IF(Ranking!$H17&gt;Ranking!$H10,"W","L")))</x:f>
        <x:v>L</x:v>
      </x:c>
      <x:c r="G17" s="50" t="str">
        <x:f>IF(17=11,"—",IF(Ranking!$H17=Ranking!$H11,"T",IF(Ranking!$H17&gt;Ranking!$H11,"W","L")))</x:f>
        <x:v>L</x:v>
      </x:c>
      <x:c r="H17" s="50" t="str">
        <x:f>IF(17=12,"—",IF(Ranking!$H17=Ranking!$H12,"T",IF(Ranking!$H17&gt;Ranking!$H12,"W","L")))</x:f>
        <x:v>L</x:v>
      </x:c>
      <x:c r="I17" s="50" t="str">
        <x:f>IF(17=13,"—",IF(Ranking!$H17=Ranking!$H13,"T",IF(Ranking!$H17&gt;Ranking!$H13,"W","L")))</x:f>
        <x:v>L</x:v>
      </x:c>
      <x:c r="J17" s="50" t="str">
        <x:f>IF(17=14,"—",IF(Ranking!$H17=Ranking!$H14,"T",IF(Ranking!$H17&gt;Ranking!$H14,"W","L")))</x:f>
        <x:v>T</x:v>
      </x:c>
      <x:c r="K17" s="50" t="str">
        <x:f>IF(17=15,"—",IF(Ranking!$H17=Ranking!$H15,"T",IF(Ranking!$H17&gt;Ranking!$H15,"W","L")))</x:f>
        <x:v>T</x:v>
      </x:c>
      <x:c r="L17" s="50" t="str">
        <x:f>IF(17=16,"—",IF(Ranking!$H17=Ranking!$H16,"T",IF(Ranking!$H17&gt;Ranking!$H16,"W","L")))</x:f>
        <x:v>T</x:v>
      </x:c>
      <x:c r="M17" s="50" t="str">
        <x:f>IF(17=17,"—",IF(Ranking!$H17=Ranking!$H17,"T",IF(Ranking!$H17&gt;Ranking!$H17,"W","L")))</x:f>
        <x:v>—</x:v>
      </x:c>
      <x:c r="N17" s="50" t="str">
        <x:f>IF(17=18,"—",IF(Ranking!$H17=Ranking!$H18,"T",IF(Ranking!$H17&gt;Ranking!$H18,"W","L")))</x:f>
        <x:v>W</x:v>
      </x:c>
      <x:c r="O17" s="50" t="str">
        <x:f>IF(17=19,"—",IF(Ranking!$H17=Ranking!$H19,"T",IF(Ranking!$H17&gt;Ranking!$H19,"W","L")))</x:f>
        <x:v>W</x:v>
      </x:c>
      <x:c r="P17" s="50" t="str">
        <x:f>IF(17=20,"—",IF(Ranking!$H17=Ranking!$H20,"T",IF(Ranking!$H17&gt;Ranking!$H20,"W","L")))</x:f>
        <x:v>W</x:v>
      </x:c>
      <x:c r="Q17" s="50" t="str">
        <x:f>IF(17=21,"—",IF(Ranking!$H17=Ranking!$H21,"T",IF(Ranking!$H17&gt;Ranking!$H21,"W","L")))</x:f>
        <x:v>W</x:v>
      </x:c>
      <x:c r="R17" s="50" t="str">
        <x:f>IF(17=22,"—",IF(Ranking!$H17=Ranking!$H22,"T",IF(Ranking!$H17&gt;Ranking!$H22,"W","L")))</x:f>
        <x:v>W</x:v>
      </x:c>
      <x:c r="S17" s="50" t="str">
        <x:f>IF(17=23,"—",IF(Ranking!$H17=Ranking!$H23,"T",IF(Ranking!$H17&gt;Ranking!$H23,"W","L")))</x:f>
        <x:v>W</x:v>
      </x:c>
      <x:c r="T17" s="50" t="str">
        <x:f>IF(17=24,"—",IF(Ranking!$H17=Ranking!$H24,"T",IF(Ranking!$H17&gt;Ranking!$H24,"W","L")))</x:f>
        <x:v>W</x:v>
      </x:c>
      <x:c r="U17" s="50" t="str">
        <x:f>IF(17=25,"—",IF(Ranking!$H17=Ranking!$H25,"T",IF(Ranking!$H17&gt;Ranking!$H25,"W","L")))</x:f>
        <x:v>W</x:v>
      </x:c>
      <x:c r="V17" s="50" t="str">
        <x:f>IF(17=26,"—",IF(Ranking!$H17=Ranking!$H26,"T",IF(Ranking!$H17&gt;Ranking!$H26,"W","L")))</x:f>
        <x:v>W</x:v>
      </x:c>
      <x:c r="W17" s="50" t="str">
        <x:f>IF(17=27,"—",IF(Ranking!$H17=Ranking!$H27,"T",IF(Ranking!$H17&gt;Ranking!$H27,"W","L")))</x:f>
        <x:v>W</x:v>
      </x:c>
      <x:c r="X17" s="50" t="str">
        <x:f>IF(17=28,"—",IF(Ranking!$H17=Ranking!$H28,"T",IF(Ranking!$H17&gt;Ranking!$H28,"W","L")))</x:f>
        <x:v>W</x:v>
      </x:c>
      <x:c r="Y17" s="50" t="str">
        <x:f>IF(17=29,"—",IF(Ranking!$H17=Ranking!$H29,"T",IF(Ranking!$H17&gt;Ranking!$H29,"W","L")))</x:f>
        <x:v>W</x:v>
      </x:c>
      <x:c r="Z17" s="50" t="str">
        <x:f>IF(17=30,"—",IF(Ranking!$H17=Ranking!$H30,"T",IF(Ranking!$H17&gt;Ranking!$H30,"W","L")))</x:f>
        <x:v>W</x:v>
      </x:c>
    </x:row>
    <x:row r="18" ht="32" customHeight="1">
      <x:c r="A18" s="15" t="str">
        <x:f>Ranking!B18</x:f>
        <x:v>Let’s Eat, Grandma</x:v>
      </x:c>
      <x:c r="B18" s="50" t="str">
        <x:f>IF(18=6,"—",IF(Ranking!$H18=Ranking!$H6,"T",IF(Ranking!$H18&gt;Ranking!$H6,"W","L")))</x:f>
        <x:v>L</x:v>
      </x:c>
      <x:c r="C18" s="50" t="str">
        <x:f>IF(18=7,"—",IF(Ranking!$H18=Ranking!$H7,"T",IF(Ranking!$H18&gt;Ranking!$H7,"W","L")))</x:f>
        <x:v>L</x:v>
      </x:c>
      <x:c r="D18" s="50" t="str">
        <x:f>IF(18=8,"—",IF(Ranking!$H18=Ranking!$H8,"T",IF(Ranking!$H18&gt;Ranking!$H8,"W","L")))</x:f>
        <x:v>L</x:v>
      </x:c>
      <x:c r="E18" s="50" t="str">
        <x:f>IF(18=9,"—",IF(Ranking!$H18=Ranking!$H9,"T",IF(Ranking!$H18&gt;Ranking!$H9,"W","L")))</x:f>
        <x:v>L</x:v>
      </x:c>
      <x:c r="F18" s="50" t="str">
        <x:f>IF(18=10,"—",IF(Ranking!$H18=Ranking!$H10,"T",IF(Ranking!$H18&gt;Ranking!$H10,"W","L")))</x:f>
        <x:v>L</x:v>
      </x:c>
      <x:c r="G18" s="50" t="str">
        <x:f>IF(18=11,"—",IF(Ranking!$H18=Ranking!$H11,"T",IF(Ranking!$H18&gt;Ranking!$H11,"W","L")))</x:f>
        <x:v>L</x:v>
      </x:c>
      <x:c r="H18" s="50" t="str">
        <x:f>IF(18=12,"—",IF(Ranking!$H18=Ranking!$H12,"T",IF(Ranking!$H18&gt;Ranking!$H12,"W","L")))</x:f>
        <x:v>L</x:v>
      </x:c>
      <x:c r="I18" s="50" t="str">
        <x:f>IF(18=13,"—",IF(Ranking!$H18=Ranking!$H13,"T",IF(Ranking!$H18&gt;Ranking!$H13,"W","L")))</x:f>
        <x:v>L</x:v>
      </x:c>
      <x:c r="J18" s="50" t="str">
        <x:f>IF(18=14,"—",IF(Ranking!$H18=Ranking!$H14,"T",IF(Ranking!$H18&gt;Ranking!$H14,"W","L")))</x:f>
        <x:v>L</x:v>
      </x:c>
      <x:c r="K18" s="50" t="str">
        <x:f>IF(18=15,"—",IF(Ranking!$H18=Ranking!$H15,"T",IF(Ranking!$H18&gt;Ranking!$H15,"W","L")))</x:f>
        <x:v>L</x:v>
      </x:c>
      <x:c r="L18" s="50" t="str">
        <x:f>IF(18=16,"—",IF(Ranking!$H18=Ranking!$H16,"T",IF(Ranking!$H18&gt;Ranking!$H16,"W","L")))</x:f>
        <x:v>L</x:v>
      </x:c>
      <x:c r="M18" s="50" t="str">
        <x:f>IF(18=17,"—",IF(Ranking!$H18=Ranking!$H17,"T",IF(Ranking!$H18&gt;Ranking!$H17,"W","L")))</x:f>
        <x:v>L</x:v>
      </x:c>
      <x:c r="N18" s="50" t="str">
        <x:f>IF(18=18,"—",IF(Ranking!$H18=Ranking!$H18,"T",IF(Ranking!$H18&gt;Ranking!$H18,"W","L")))</x:f>
        <x:v>—</x:v>
      </x:c>
      <x:c r="O18" s="50" t="str">
        <x:f>IF(18=19,"—",IF(Ranking!$H18=Ranking!$H19,"T",IF(Ranking!$H18&gt;Ranking!$H19,"W","L")))</x:f>
        <x:v>W</x:v>
      </x:c>
      <x:c r="P18" s="50" t="str">
        <x:f>IF(18=20,"—",IF(Ranking!$H18=Ranking!$H20,"T",IF(Ranking!$H18&gt;Ranking!$H20,"W","L")))</x:f>
        <x:v>W</x:v>
      </x:c>
      <x:c r="Q18" s="50" t="str">
        <x:f>IF(18=21,"—",IF(Ranking!$H18=Ranking!$H21,"T",IF(Ranking!$H18&gt;Ranking!$H21,"W","L")))</x:f>
        <x:v>W</x:v>
      </x:c>
      <x:c r="R18" s="50" t="str">
        <x:f>IF(18=22,"—",IF(Ranking!$H18=Ranking!$H22,"T",IF(Ranking!$H18&gt;Ranking!$H22,"W","L")))</x:f>
        <x:v>W</x:v>
      </x:c>
      <x:c r="S18" s="50" t="str">
        <x:f>IF(18=23,"—",IF(Ranking!$H18=Ranking!$H23,"T",IF(Ranking!$H18&gt;Ranking!$H23,"W","L")))</x:f>
        <x:v>W</x:v>
      </x:c>
      <x:c r="T18" s="50" t="str">
        <x:f>IF(18=24,"—",IF(Ranking!$H18=Ranking!$H24,"T",IF(Ranking!$H18&gt;Ranking!$H24,"W","L")))</x:f>
        <x:v>W</x:v>
      </x:c>
      <x:c r="U18" s="50" t="str">
        <x:f>IF(18=25,"—",IF(Ranking!$H18=Ranking!$H25,"T",IF(Ranking!$H18&gt;Ranking!$H25,"W","L")))</x:f>
        <x:v>W</x:v>
      </x:c>
      <x:c r="V18" s="50" t="str">
        <x:f>IF(18=26,"—",IF(Ranking!$H18=Ranking!$H26,"T",IF(Ranking!$H18&gt;Ranking!$H26,"W","L")))</x:f>
        <x:v>W</x:v>
      </x:c>
      <x:c r="W18" s="50" t="str">
        <x:f>IF(18=27,"—",IF(Ranking!$H18=Ranking!$H27,"T",IF(Ranking!$H18&gt;Ranking!$H27,"W","L")))</x:f>
        <x:v>W</x:v>
      </x:c>
      <x:c r="X18" s="50" t="str">
        <x:f>IF(18=28,"—",IF(Ranking!$H18=Ranking!$H28,"T",IF(Ranking!$H18&gt;Ranking!$H28,"W","L")))</x:f>
        <x:v>W</x:v>
      </x:c>
      <x:c r="Y18" s="50" t="str">
        <x:f>IF(18=29,"—",IF(Ranking!$H18=Ranking!$H29,"T",IF(Ranking!$H18&gt;Ranking!$H29,"W","L")))</x:f>
        <x:v>W</x:v>
      </x:c>
      <x:c r="Z18" s="50" t="str">
        <x:f>IF(18=30,"—",IF(Ranking!$H18=Ranking!$H30,"T",IF(Ranking!$H18&gt;Ranking!$H30,"W","L")))</x:f>
        <x:v>W</x:v>
      </x:c>
    </x:row>
    <x:row r="19" ht="32" customHeight="1">
      <x:c r="A19" s="15" t="str">
        <x:f>Ranking!B19</x:f>
        <x:v>Briefcase Coach</x:v>
      </x:c>
      <x:c r="B19" s="50" t="str">
        <x:f>IF(19=6,"—",IF(Ranking!$H19=Ranking!$H6,"T",IF(Ranking!$H19&gt;Ranking!$H6,"W","L")))</x:f>
        <x:v>L</x:v>
      </x:c>
      <x:c r="C19" s="50" t="str">
        <x:f>IF(19=7,"—",IF(Ranking!$H19=Ranking!$H7,"T",IF(Ranking!$H19&gt;Ranking!$H7,"W","L")))</x:f>
        <x:v>L</x:v>
      </x:c>
      <x:c r="D19" s="50" t="str">
        <x:f>IF(19=8,"—",IF(Ranking!$H19=Ranking!$H8,"T",IF(Ranking!$H19&gt;Ranking!$H8,"W","L")))</x:f>
        <x:v>L</x:v>
      </x:c>
      <x:c r="E19" s="50" t="str">
        <x:f>IF(19=9,"—",IF(Ranking!$H19=Ranking!$H9,"T",IF(Ranking!$H19&gt;Ranking!$H9,"W","L")))</x:f>
        <x:v>L</x:v>
      </x:c>
      <x:c r="F19" s="50" t="str">
        <x:f>IF(19=10,"—",IF(Ranking!$H19=Ranking!$H10,"T",IF(Ranking!$H19&gt;Ranking!$H10,"W","L")))</x:f>
        <x:v>L</x:v>
      </x:c>
      <x:c r="G19" s="50" t="str">
        <x:f>IF(19=11,"—",IF(Ranking!$H19=Ranking!$H11,"T",IF(Ranking!$H19&gt;Ranking!$H11,"W","L")))</x:f>
        <x:v>L</x:v>
      </x:c>
      <x:c r="H19" s="50" t="str">
        <x:f>IF(19=12,"—",IF(Ranking!$H19=Ranking!$H12,"T",IF(Ranking!$H19&gt;Ranking!$H12,"W","L")))</x:f>
        <x:v>L</x:v>
      </x:c>
      <x:c r="I19" s="50" t="str">
        <x:f>IF(19=13,"—",IF(Ranking!$H19=Ranking!$H13,"T",IF(Ranking!$H19&gt;Ranking!$H13,"W","L")))</x:f>
        <x:v>L</x:v>
      </x:c>
      <x:c r="J19" s="50" t="str">
        <x:f>IF(19=14,"—",IF(Ranking!$H19=Ranking!$H14,"T",IF(Ranking!$H19&gt;Ranking!$H14,"W","L")))</x:f>
        <x:v>L</x:v>
      </x:c>
      <x:c r="K19" s="50" t="str">
        <x:f>IF(19=15,"—",IF(Ranking!$H19=Ranking!$H15,"T",IF(Ranking!$H19&gt;Ranking!$H15,"W","L")))</x:f>
        <x:v>L</x:v>
      </x:c>
      <x:c r="L19" s="50" t="str">
        <x:f>IF(19=16,"—",IF(Ranking!$H19=Ranking!$H16,"T",IF(Ranking!$H19&gt;Ranking!$H16,"W","L")))</x:f>
        <x:v>L</x:v>
      </x:c>
      <x:c r="M19" s="50" t="str">
        <x:f>IF(19=17,"—",IF(Ranking!$H19=Ranking!$H17,"T",IF(Ranking!$H19&gt;Ranking!$H17,"W","L")))</x:f>
        <x:v>L</x:v>
      </x:c>
      <x:c r="N19" s="50" t="str">
        <x:f>IF(19=18,"—",IF(Ranking!$H19=Ranking!$H18,"T",IF(Ranking!$H19&gt;Ranking!$H18,"W","L")))</x:f>
        <x:v>L</x:v>
      </x:c>
      <x:c r="O19" s="50" t="str">
        <x:f>IF(19=19,"—",IF(Ranking!$H19=Ranking!$H19,"T",IF(Ranking!$H19&gt;Ranking!$H19,"W","L")))</x:f>
        <x:v>—</x:v>
      </x:c>
      <x:c r="P19" s="50" t="str">
        <x:f>IF(19=20,"—",IF(Ranking!$H19=Ranking!$H20,"T",IF(Ranking!$H19&gt;Ranking!$H20,"W","L")))</x:f>
        <x:v>T</x:v>
      </x:c>
      <x:c r="Q19" s="50" t="str">
        <x:f>IF(19=21,"—",IF(Ranking!$H19=Ranking!$H21,"T",IF(Ranking!$H19&gt;Ranking!$H21,"W","L")))</x:f>
        <x:v>W</x:v>
      </x:c>
      <x:c r="R19" s="50" t="str">
        <x:f>IF(19=22,"—",IF(Ranking!$H19=Ranking!$H22,"T",IF(Ranking!$H19&gt;Ranking!$H22,"W","L")))</x:f>
        <x:v>W</x:v>
      </x:c>
      <x:c r="S19" s="50" t="str">
        <x:f>IF(19=23,"—",IF(Ranking!$H19=Ranking!$H23,"T",IF(Ranking!$H19&gt;Ranking!$H23,"W","L")))</x:f>
        <x:v>W</x:v>
      </x:c>
      <x:c r="T19" s="50" t="str">
        <x:f>IF(19=24,"—",IF(Ranking!$H19=Ranking!$H24,"T",IF(Ranking!$H19&gt;Ranking!$H24,"W","L")))</x:f>
        <x:v>W</x:v>
      </x:c>
      <x:c r="U19" s="50" t="str">
        <x:f>IF(19=25,"—",IF(Ranking!$H19=Ranking!$H25,"T",IF(Ranking!$H19&gt;Ranking!$H25,"W","L")))</x:f>
        <x:v>W</x:v>
      </x:c>
      <x:c r="V19" s="50" t="str">
        <x:f>IF(19=26,"—",IF(Ranking!$H19=Ranking!$H26,"T",IF(Ranking!$H19&gt;Ranking!$H26,"W","L")))</x:f>
        <x:v>W</x:v>
      </x:c>
      <x:c r="W19" s="50" t="str">
        <x:f>IF(19=27,"—",IF(Ranking!$H19=Ranking!$H27,"T",IF(Ranking!$H19&gt;Ranking!$H27,"W","L")))</x:f>
        <x:v>W</x:v>
      </x:c>
      <x:c r="X19" s="50" t="str">
        <x:f>IF(19=28,"—",IF(Ranking!$H19=Ranking!$H28,"T",IF(Ranking!$H19&gt;Ranking!$H28,"W","L")))</x:f>
        <x:v>W</x:v>
      </x:c>
      <x:c r="Y19" s="50" t="str">
        <x:f>IF(19=29,"—",IF(Ranking!$H19=Ranking!$H29,"T",IF(Ranking!$H19&gt;Ranking!$H29,"W","L")))</x:f>
        <x:v>W</x:v>
      </x:c>
      <x:c r="Z19" s="50" t="str">
        <x:f>IF(19=30,"—",IF(Ranking!$H19=Ranking!$H30,"T",IF(Ranking!$H19&gt;Ranking!$H30,"W","L")))</x:f>
        <x:v>W</x:v>
      </x:c>
    </x:row>
    <x:row r="20" ht="32" customHeight="1">
      <x:c r="A20" s="15" t="str">
        <x:f>Ranking!B20</x:f>
        <x:v>Blue Sky Resumes</x:v>
      </x:c>
      <x:c r="B20" s="50" t="str">
        <x:f>IF(20=6,"—",IF(Ranking!$H20=Ranking!$H6,"T",IF(Ranking!$H20&gt;Ranking!$H6,"W","L")))</x:f>
        <x:v>L</x:v>
      </x:c>
      <x:c r="C20" s="50" t="str">
        <x:f>IF(20=7,"—",IF(Ranking!$H20=Ranking!$H7,"T",IF(Ranking!$H20&gt;Ranking!$H7,"W","L")))</x:f>
        <x:v>L</x:v>
      </x:c>
      <x:c r="D20" s="50" t="str">
        <x:f>IF(20=8,"—",IF(Ranking!$H20=Ranking!$H8,"T",IF(Ranking!$H20&gt;Ranking!$H8,"W","L")))</x:f>
        <x:v>L</x:v>
      </x:c>
      <x:c r="E20" s="50" t="str">
        <x:f>IF(20=9,"—",IF(Ranking!$H20=Ranking!$H9,"T",IF(Ranking!$H20&gt;Ranking!$H9,"W","L")))</x:f>
        <x:v>L</x:v>
      </x:c>
      <x:c r="F20" s="50" t="str">
        <x:f>IF(20=10,"—",IF(Ranking!$H20=Ranking!$H10,"T",IF(Ranking!$H20&gt;Ranking!$H10,"W","L")))</x:f>
        <x:v>L</x:v>
      </x:c>
      <x:c r="G20" s="50" t="str">
        <x:f>IF(20=11,"—",IF(Ranking!$H20=Ranking!$H11,"T",IF(Ranking!$H20&gt;Ranking!$H11,"W","L")))</x:f>
        <x:v>L</x:v>
      </x:c>
      <x:c r="H20" s="50" t="str">
        <x:f>IF(20=12,"—",IF(Ranking!$H20=Ranking!$H12,"T",IF(Ranking!$H20&gt;Ranking!$H12,"W","L")))</x:f>
        <x:v>L</x:v>
      </x:c>
      <x:c r="I20" s="50" t="str">
        <x:f>IF(20=13,"—",IF(Ranking!$H20=Ranking!$H13,"T",IF(Ranking!$H20&gt;Ranking!$H13,"W","L")))</x:f>
        <x:v>L</x:v>
      </x:c>
      <x:c r="J20" s="50" t="str">
        <x:f>IF(20=14,"—",IF(Ranking!$H20=Ranking!$H14,"T",IF(Ranking!$H20&gt;Ranking!$H14,"W","L")))</x:f>
        <x:v>L</x:v>
      </x:c>
      <x:c r="K20" s="50" t="str">
        <x:f>IF(20=15,"—",IF(Ranking!$H20=Ranking!$H15,"T",IF(Ranking!$H20&gt;Ranking!$H15,"W","L")))</x:f>
        <x:v>L</x:v>
      </x:c>
      <x:c r="L20" s="50" t="str">
        <x:f>IF(20=16,"—",IF(Ranking!$H20=Ranking!$H16,"T",IF(Ranking!$H20&gt;Ranking!$H16,"W","L")))</x:f>
        <x:v>L</x:v>
      </x:c>
      <x:c r="M20" s="50" t="str">
        <x:f>IF(20=17,"—",IF(Ranking!$H20=Ranking!$H17,"T",IF(Ranking!$H20&gt;Ranking!$H17,"W","L")))</x:f>
        <x:v>L</x:v>
      </x:c>
      <x:c r="N20" s="50" t="str">
        <x:f>IF(20=18,"—",IF(Ranking!$H20=Ranking!$H18,"T",IF(Ranking!$H20&gt;Ranking!$H18,"W","L")))</x:f>
        <x:v>L</x:v>
      </x:c>
      <x:c r="O20" s="50" t="str">
        <x:f>IF(20=19,"—",IF(Ranking!$H20=Ranking!$H19,"T",IF(Ranking!$H20&gt;Ranking!$H19,"W","L")))</x:f>
        <x:v>T</x:v>
      </x:c>
      <x:c r="P20" s="50" t="str">
        <x:f>IF(20=20,"—",IF(Ranking!$H20=Ranking!$H20,"T",IF(Ranking!$H20&gt;Ranking!$H20,"W","L")))</x:f>
        <x:v>—</x:v>
      </x:c>
      <x:c r="Q20" s="50" t="str">
        <x:f>IF(20=21,"—",IF(Ranking!$H20=Ranking!$H21,"T",IF(Ranking!$H20&gt;Ranking!$H21,"W","L")))</x:f>
        <x:v>W</x:v>
      </x:c>
      <x:c r="R20" s="50" t="str">
        <x:f>IF(20=22,"—",IF(Ranking!$H20=Ranking!$H22,"T",IF(Ranking!$H20&gt;Ranking!$H22,"W","L")))</x:f>
        <x:v>W</x:v>
      </x:c>
      <x:c r="S20" s="50" t="str">
        <x:f>IF(20=23,"—",IF(Ranking!$H20=Ranking!$H23,"T",IF(Ranking!$H20&gt;Ranking!$H23,"W","L")))</x:f>
        <x:v>W</x:v>
      </x:c>
      <x:c r="T20" s="50" t="str">
        <x:f>IF(20=24,"—",IF(Ranking!$H20=Ranking!$H24,"T",IF(Ranking!$H20&gt;Ranking!$H24,"W","L")))</x:f>
        <x:v>W</x:v>
      </x:c>
      <x:c r="U20" s="50" t="str">
        <x:f>IF(20=25,"—",IF(Ranking!$H20=Ranking!$H25,"T",IF(Ranking!$H20&gt;Ranking!$H25,"W","L")))</x:f>
        <x:v>W</x:v>
      </x:c>
      <x:c r="V20" s="50" t="str">
        <x:f>IF(20=26,"—",IF(Ranking!$H20=Ranking!$H26,"T",IF(Ranking!$H20&gt;Ranking!$H26,"W","L")))</x:f>
        <x:v>W</x:v>
      </x:c>
      <x:c r="W20" s="50" t="str">
        <x:f>IF(20=27,"—",IF(Ranking!$H20=Ranking!$H27,"T",IF(Ranking!$H20&gt;Ranking!$H27,"W","L")))</x:f>
        <x:v>W</x:v>
      </x:c>
      <x:c r="X20" s="50" t="str">
        <x:f>IF(20=28,"—",IF(Ranking!$H20=Ranking!$H28,"T",IF(Ranking!$H20&gt;Ranking!$H28,"W","L")))</x:f>
        <x:v>W</x:v>
      </x:c>
      <x:c r="Y20" s="50" t="str">
        <x:f>IF(20=29,"—",IF(Ranking!$H20=Ranking!$H29,"T",IF(Ranking!$H20&gt;Ranking!$H29,"W","L")))</x:f>
        <x:v>W</x:v>
      </x:c>
      <x:c r="Z20" s="50" t="str">
        <x:f>IF(20=30,"—",IF(Ranking!$H20=Ranking!$H30,"T",IF(Ranking!$H20&gt;Ranking!$H30,"W","L")))</x:f>
        <x:v>W</x:v>
      </x:c>
    </x:row>
    <x:row r="21" ht="32" customHeight="1">
      <x:c r="A21" s="15" t="str">
        <x:f>Ranking!B21</x:f>
        <x:v>CareerProPlus / CareerPro Global</x:v>
      </x:c>
      <x:c r="B21" s="50" t="str">
        <x:f>IF(21=6,"—",IF(Ranking!$H21=Ranking!$H6,"T",IF(Ranking!$H21&gt;Ranking!$H6,"W","L")))</x:f>
        <x:v>L</x:v>
      </x:c>
      <x:c r="C21" s="50" t="str">
        <x:f>IF(21=7,"—",IF(Ranking!$H21=Ranking!$H7,"T",IF(Ranking!$H21&gt;Ranking!$H7,"W","L")))</x:f>
        <x:v>L</x:v>
      </x:c>
      <x:c r="D21" s="50" t="str">
        <x:f>IF(21=8,"—",IF(Ranking!$H21=Ranking!$H8,"T",IF(Ranking!$H21&gt;Ranking!$H8,"W","L")))</x:f>
        <x:v>L</x:v>
      </x:c>
      <x:c r="E21" s="50" t="str">
        <x:f>IF(21=9,"—",IF(Ranking!$H21=Ranking!$H9,"T",IF(Ranking!$H21&gt;Ranking!$H9,"W","L")))</x:f>
        <x:v>L</x:v>
      </x:c>
      <x:c r="F21" s="50" t="str">
        <x:f>IF(21=10,"—",IF(Ranking!$H21=Ranking!$H10,"T",IF(Ranking!$H21&gt;Ranking!$H10,"W","L")))</x:f>
        <x:v>L</x:v>
      </x:c>
      <x:c r="G21" s="50" t="str">
        <x:f>IF(21=11,"—",IF(Ranking!$H21=Ranking!$H11,"T",IF(Ranking!$H21&gt;Ranking!$H11,"W","L")))</x:f>
        <x:v>L</x:v>
      </x:c>
      <x:c r="H21" s="50" t="str">
        <x:f>IF(21=12,"—",IF(Ranking!$H21=Ranking!$H12,"T",IF(Ranking!$H21&gt;Ranking!$H12,"W","L")))</x:f>
        <x:v>L</x:v>
      </x:c>
      <x:c r="I21" s="50" t="str">
        <x:f>IF(21=13,"—",IF(Ranking!$H21=Ranking!$H13,"T",IF(Ranking!$H21&gt;Ranking!$H13,"W","L")))</x:f>
        <x:v>L</x:v>
      </x:c>
      <x:c r="J21" s="50" t="str">
        <x:f>IF(21=14,"—",IF(Ranking!$H21=Ranking!$H14,"T",IF(Ranking!$H21&gt;Ranking!$H14,"W","L")))</x:f>
        <x:v>L</x:v>
      </x:c>
      <x:c r="K21" s="50" t="str">
        <x:f>IF(21=15,"—",IF(Ranking!$H21=Ranking!$H15,"T",IF(Ranking!$H21&gt;Ranking!$H15,"W","L")))</x:f>
        <x:v>L</x:v>
      </x:c>
      <x:c r="L21" s="50" t="str">
        <x:f>IF(21=16,"—",IF(Ranking!$H21=Ranking!$H16,"T",IF(Ranking!$H21&gt;Ranking!$H16,"W","L")))</x:f>
        <x:v>L</x:v>
      </x:c>
      <x:c r="M21" s="50" t="str">
        <x:f>IF(21=17,"—",IF(Ranking!$H21=Ranking!$H17,"T",IF(Ranking!$H21&gt;Ranking!$H17,"W","L")))</x:f>
        <x:v>L</x:v>
      </x:c>
      <x:c r="N21" s="50" t="str">
        <x:f>IF(21=18,"—",IF(Ranking!$H21=Ranking!$H18,"T",IF(Ranking!$H21&gt;Ranking!$H18,"W","L")))</x:f>
        <x:v>L</x:v>
      </x:c>
      <x:c r="O21" s="50" t="str">
        <x:f>IF(21=19,"—",IF(Ranking!$H21=Ranking!$H19,"T",IF(Ranking!$H21&gt;Ranking!$H19,"W","L")))</x:f>
        <x:v>L</x:v>
      </x:c>
      <x:c r="P21" s="50" t="str">
        <x:f>IF(21=20,"—",IF(Ranking!$H21=Ranking!$H20,"T",IF(Ranking!$H21&gt;Ranking!$H20,"W","L")))</x:f>
        <x:v>L</x:v>
      </x:c>
      <x:c r="Q21" s="50" t="str">
        <x:f>IF(21=21,"—",IF(Ranking!$H21=Ranking!$H21,"T",IF(Ranking!$H21&gt;Ranking!$H21,"W","L")))</x:f>
        <x:v>—</x:v>
      </x:c>
      <x:c r="R21" s="50" t="str">
        <x:f>IF(21=22,"—",IF(Ranking!$H21=Ranking!$H22,"T",IF(Ranking!$H21&gt;Ranking!$H22,"W","L")))</x:f>
        <x:v>W</x:v>
      </x:c>
      <x:c r="S21" s="50" t="str">
        <x:f>IF(21=23,"—",IF(Ranking!$H21=Ranking!$H23,"T",IF(Ranking!$H21&gt;Ranking!$H23,"W","L")))</x:f>
        <x:v>W</x:v>
      </x:c>
      <x:c r="T21" s="50" t="str">
        <x:f>IF(21=24,"—",IF(Ranking!$H21=Ranking!$H24,"T",IF(Ranking!$H21&gt;Ranking!$H24,"W","L")))</x:f>
        <x:v>W</x:v>
      </x:c>
      <x:c r="U21" s="50" t="str">
        <x:f>IF(21=25,"—",IF(Ranking!$H21=Ranking!$H25,"T",IF(Ranking!$H21&gt;Ranking!$H25,"W","L")))</x:f>
        <x:v>W</x:v>
      </x:c>
      <x:c r="V21" s="50" t="str">
        <x:f>IF(21=26,"—",IF(Ranking!$H21=Ranking!$H26,"T",IF(Ranking!$H21&gt;Ranking!$H26,"W","L")))</x:f>
        <x:v>W</x:v>
      </x:c>
      <x:c r="W21" s="50" t="str">
        <x:f>IF(21=27,"—",IF(Ranking!$H21=Ranking!$H27,"T",IF(Ranking!$H21&gt;Ranking!$H27,"W","L")))</x:f>
        <x:v>W</x:v>
      </x:c>
      <x:c r="X21" s="50" t="str">
        <x:f>IF(21=28,"—",IF(Ranking!$H21=Ranking!$H28,"T",IF(Ranking!$H21&gt;Ranking!$H28,"W","L")))</x:f>
        <x:v>W</x:v>
      </x:c>
      <x:c r="Y21" s="50" t="str">
        <x:f>IF(21=29,"—",IF(Ranking!$H21=Ranking!$H29,"T",IF(Ranking!$H21&gt;Ranking!$H29,"W","L")))</x:f>
        <x:v>W</x:v>
      </x:c>
      <x:c r="Z21" s="50" t="str">
        <x:f>IF(21=30,"—",IF(Ranking!$H21=Ranking!$H30,"T",IF(Ranking!$H21&gt;Ranking!$H30,"W","L")))</x:f>
        <x:v>W</x:v>
      </x:c>
    </x:row>
    <x:row r="22" ht="32" customHeight="1">
      <x:c r="A22" s="15" t="str">
        <x:f>Ranking!B22</x:f>
        <x:v>Scientech Resumes / Scientech Career Systems</x:v>
      </x:c>
      <x:c r="B22" s="50" t="str">
        <x:f>IF(22=6,"—",IF(Ranking!$H22=Ranking!$H6,"T",IF(Ranking!$H22&gt;Ranking!$H6,"W","L")))</x:f>
        <x:v>L</x:v>
      </x:c>
      <x:c r="C22" s="50" t="str">
        <x:f>IF(22=7,"—",IF(Ranking!$H22=Ranking!$H7,"T",IF(Ranking!$H22&gt;Ranking!$H7,"W","L")))</x:f>
        <x:v>L</x:v>
      </x:c>
      <x:c r="D22" s="50" t="str">
        <x:f>IF(22=8,"—",IF(Ranking!$H22=Ranking!$H8,"T",IF(Ranking!$H22&gt;Ranking!$H8,"W","L")))</x:f>
        <x:v>L</x:v>
      </x:c>
      <x:c r="E22" s="50" t="str">
        <x:f>IF(22=9,"—",IF(Ranking!$H22=Ranking!$H9,"T",IF(Ranking!$H22&gt;Ranking!$H9,"W","L")))</x:f>
        <x:v>L</x:v>
      </x:c>
      <x:c r="F22" s="50" t="str">
        <x:f>IF(22=10,"—",IF(Ranking!$H22=Ranking!$H10,"T",IF(Ranking!$H22&gt;Ranking!$H10,"W","L")))</x:f>
        <x:v>L</x:v>
      </x:c>
      <x:c r="G22" s="50" t="str">
        <x:f>IF(22=11,"—",IF(Ranking!$H22=Ranking!$H11,"T",IF(Ranking!$H22&gt;Ranking!$H11,"W","L")))</x:f>
        <x:v>L</x:v>
      </x:c>
      <x:c r="H22" s="50" t="str">
        <x:f>IF(22=12,"—",IF(Ranking!$H22=Ranking!$H12,"T",IF(Ranking!$H22&gt;Ranking!$H12,"W","L")))</x:f>
        <x:v>L</x:v>
      </x:c>
      <x:c r="I22" s="50" t="str">
        <x:f>IF(22=13,"—",IF(Ranking!$H22=Ranking!$H13,"T",IF(Ranking!$H22&gt;Ranking!$H13,"W","L")))</x:f>
        <x:v>L</x:v>
      </x:c>
      <x:c r="J22" s="50" t="str">
        <x:f>IF(22=14,"—",IF(Ranking!$H22=Ranking!$H14,"T",IF(Ranking!$H22&gt;Ranking!$H14,"W","L")))</x:f>
        <x:v>L</x:v>
      </x:c>
      <x:c r="K22" s="50" t="str">
        <x:f>IF(22=15,"—",IF(Ranking!$H22=Ranking!$H15,"T",IF(Ranking!$H22&gt;Ranking!$H15,"W","L")))</x:f>
        <x:v>L</x:v>
      </x:c>
      <x:c r="L22" s="50" t="str">
        <x:f>IF(22=16,"—",IF(Ranking!$H22=Ranking!$H16,"T",IF(Ranking!$H22&gt;Ranking!$H16,"W","L")))</x:f>
        <x:v>L</x:v>
      </x:c>
      <x:c r="M22" s="50" t="str">
        <x:f>IF(22=17,"—",IF(Ranking!$H22=Ranking!$H17,"T",IF(Ranking!$H22&gt;Ranking!$H17,"W","L")))</x:f>
        <x:v>L</x:v>
      </x:c>
      <x:c r="N22" s="50" t="str">
        <x:f>IF(22=18,"—",IF(Ranking!$H22=Ranking!$H18,"T",IF(Ranking!$H22&gt;Ranking!$H18,"W","L")))</x:f>
        <x:v>L</x:v>
      </x:c>
      <x:c r="O22" s="50" t="str">
        <x:f>IF(22=19,"—",IF(Ranking!$H22=Ranking!$H19,"T",IF(Ranking!$H22&gt;Ranking!$H19,"W","L")))</x:f>
        <x:v>L</x:v>
      </x:c>
      <x:c r="P22" s="50" t="str">
        <x:f>IF(22=20,"—",IF(Ranking!$H22=Ranking!$H20,"T",IF(Ranking!$H22&gt;Ranking!$H20,"W","L")))</x:f>
        <x:v>L</x:v>
      </x:c>
      <x:c r="Q22" s="50" t="str">
        <x:f>IF(22=21,"—",IF(Ranking!$H22=Ranking!$H21,"T",IF(Ranking!$H22&gt;Ranking!$H21,"W","L")))</x:f>
        <x:v>L</x:v>
      </x:c>
      <x:c r="R22" s="50" t="str">
        <x:f>IF(22=22,"—",IF(Ranking!$H22=Ranking!$H22,"T",IF(Ranking!$H22&gt;Ranking!$H22,"W","L")))</x:f>
        <x:v>—</x:v>
      </x:c>
      <x:c r="S22" s="50" t="str">
        <x:f>IF(22=23,"—",IF(Ranking!$H22=Ranking!$H23,"T",IF(Ranking!$H22&gt;Ranking!$H23,"W","L")))</x:f>
        <x:v>W</x:v>
      </x:c>
      <x:c r="T22" s="50" t="str">
        <x:f>IF(22=24,"—",IF(Ranking!$H22=Ranking!$H24,"T",IF(Ranking!$H22&gt;Ranking!$H24,"W","L")))</x:f>
        <x:v>W</x:v>
      </x:c>
      <x:c r="U22" s="50" t="str">
        <x:f>IF(22=25,"—",IF(Ranking!$H22=Ranking!$H25,"T",IF(Ranking!$H22&gt;Ranking!$H25,"W","L")))</x:f>
        <x:v>W</x:v>
      </x:c>
      <x:c r="V22" s="50" t="str">
        <x:f>IF(22=26,"—",IF(Ranking!$H22=Ranking!$H26,"T",IF(Ranking!$H22&gt;Ranking!$H26,"W","L")))</x:f>
        <x:v>W</x:v>
      </x:c>
      <x:c r="W22" s="50" t="str">
        <x:f>IF(22=27,"—",IF(Ranking!$H22=Ranking!$H27,"T",IF(Ranking!$H22&gt;Ranking!$H27,"W","L")))</x:f>
        <x:v>W</x:v>
      </x:c>
      <x:c r="X22" s="50" t="str">
        <x:f>IF(22=28,"—",IF(Ranking!$H22=Ranking!$H28,"T",IF(Ranking!$H22&gt;Ranking!$H28,"W","L")))</x:f>
        <x:v>W</x:v>
      </x:c>
      <x:c r="Y22" s="50" t="str">
        <x:f>IF(22=29,"—",IF(Ranking!$H22=Ranking!$H29,"T",IF(Ranking!$H22&gt;Ranking!$H29,"W","L")))</x:f>
        <x:v>W</x:v>
      </x:c>
      <x:c r="Z22" s="50" t="str">
        <x:f>IF(22=30,"—",IF(Ranking!$H22=Ranking!$H30,"T",IF(Ranking!$H22&gt;Ranking!$H30,"W","L")))</x:f>
        <x:v>W</x:v>
      </x:c>
    </x:row>
    <x:row r="23" ht="32" customHeight="1">
      <x:c r="A23" s="15" t="str">
        <x:f>Ranking!B23</x:f>
        <x:v>TopStack Resume</x:v>
      </x:c>
      <x:c r="B23" s="50" t="str">
        <x:f>IF(23=6,"—",IF(Ranking!$H23=Ranking!$H6,"T",IF(Ranking!$H23&gt;Ranking!$H6,"W","L")))</x:f>
        <x:v>L</x:v>
      </x:c>
      <x:c r="C23" s="50" t="str">
        <x:f>IF(23=7,"—",IF(Ranking!$H23=Ranking!$H7,"T",IF(Ranking!$H23&gt;Ranking!$H7,"W","L")))</x:f>
        <x:v>L</x:v>
      </x:c>
      <x:c r="D23" s="50" t="str">
        <x:f>IF(23=8,"—",IF(Ranking!$H23=Ranking!$H8,"T",IF(Ranking!$H23&gt;Ranking!$H8,"W","L")))</x:f>
        <x:v>L</x:v>
      </x:c>
      <x:c r="E23" s="50" t="str">
        <x:f>IF(23=9,"—",IF(Ranking!$H23=Ranking!$H9,"T",IF(Ranking!$H23&gt;Ranking!$H9,"W","L")))</x:f>
        <x:v>L</x:v>
      </x:c>
      <x:c r="F23" s="50" t="str">
        <x:f>IF(23=10,"—",IF(Ranking!$H23=Ranking!$H10,"T",IF(Ranking!$H23&gt;Ranking!$H10,"W","L")))</x:f>
        <x:v>L</x:v>
      </x:c>
      <x:c r="G23" s="50" t="str">
        <x:f>IF(23=11,"—",IF(Ranking!$H23=Ranking!$H11,"T",IF(Ranking!$H23&gt;Ranking!$H11,"W","L")))</x:f>
        <x:v>L</x:v>
      </x:c>
      <x:c r="H23" s="50" t="str">
        <x:f>IF(23=12,"—",IF(Ranking!$H23=Ranking!$H12,"T",IF(Ranking!$H23&gt;Ranking!$H12,"W","L")))</x:f>
        <x:v>L</x:v>
      </x:c>
      <x:c r="I23" s="50" t="str">
        <x:f>IF(23=13,"—",IF(Ranking!$H23=Ranking!$H13,"T",IF(Ranking!$H23&gt;Ranking!$H13,"W","L")))</x:f>
        <x:v>L</x:v>
      </x:c>
      <x:c r="J23" s="50" t="str">
        <x:f>IF(23=14,"—",IF(Ranking!$H23=Ranking!$H14,"T",IF(Ranking!$H23&gt;Ranking!$H14,"W","L")))</x:f>
        <x:v>L</x:v>
      </x:c>
      <x:c r="K23" s="50" t="str">
        <x:f>IF(23=15,"—",IF(Ranking!$H23=Ranking!$H15,"T",IF(Ranking!$H23&gt;Ranking!$H15,"W","L")))</x:f>
        <x:v>L</x:v>
      </x:c>
      <x:c r="L23" s="50" t="str">
        <x:f>IF(23=16,"—",IF(Ranking!$H23=Ranking!$H16,"T",IF(Ranking!$H23&gt;Ranking!$H16,"W","L")))</x:f>
        <x:v>L</x:v>
      </x:c>
      <x:c r="M23" s="50" t="str">
        <x:f>IF(23=17,"—",IF(Ranking!$H23=Ranking!$H17,"T",IF(Ranking!$H23&gt;Ranking!$H17,"W","L")))</x:f>
        <x:v>L</x:v>
      </x:c>
      <x:c r="N23" s="50" t="str">
        <x:f>IF(23=18,"—",IF(Ranking!$H23=Ranking!$H18,"T",IF(Ranking!$H23&gt;Ranking!$H18,"W","L")))</x:f>
        <x:v>L</x:v>
      </x:c>
      <x:c r="O23" s="50" t="str">
        <x:f>IF(23=19,"—",IF(Ranking!$H23=Ranking!$H19,"T",IF(Ranking!$H23&gt;Ranking!$H19,"W","L")))</x:f>
        <x:v>L</x:v>
      </x:c>
      <x:c r="P23" s="50" t="str">
        <x:f>IF(23=20,"—",IF(Ranking!$H23=Ranking!$H20,"T",IF(Ranking!$H23&gt;Ranking!$H20,"W","L")))</x:f>
        <x:v>L</x:v>
      </x:c>
      <x:c r="Q23" s="50" t="str">
        <x:f>IF(23=21,"—",IF(Ranking!$H23=Ranking!$H21,"T",IF(Ranking!$H23&gt;Ranking!$H21,"W","L")))</x:f>
        <x:v>L</x:v>
      </x:c>
      <x:c r="R23" s="50" t="str">
        <x:f>IF(23=22,"—",IF(Ranking!$H23=Ranking!$H22,"T",IF(Ranking!$H23&gt;Ranking!$H22,"W","L")))</x:f>
        <x:v>L</x:v>
      </x:c>
      <x:c r="S23" s="50" t="str">
        <x:f>IF(23=23,"—",IF(Ranking!$H23=Ranking!$H23,"T",IF(Ranking!$H23&gt;Ranking!$H23,"W","L")))</x:f>
        <x:v>—</x:v>
      </x:c>
      <x:c r="T23" s="50" t="str">
        <x:f>IF(23=24,"—",IF(Ranking!$H23=Ranking!$H24,"T",IF(Ranking!$H23&gt;Ranking!$H24,"W","L")))</x:f>
        <x:v>T</x:v>
      </x:c>
      <x:c r="U23" s="50" t="str">
        <x:f>IF(23=25,"—",IF(Ranking!$H23=Ranking!$H25,"T",IF(Ranking!$H23&gt;Ranking!$H25,"W","L")))</x:f>
        <x:v>W</x:v>
      </x:c>
      <x:c r="V23" s="50" t="str">
        <x:f>IF(23=26,"—",IF(Ranking!$H23=Ranking!$H26,"T",IF(Ranking!$H23&gt;Ranking!$H26,"W","L")))</x:f>
        <x:v>W</x:v>
      </x:c>
      <x:c r="W23" s="50" t="str">
        <x:f>IF(23=27,"—",IF(Ranking!$H23=Ranking!$H27,"T",IF(Ranking!$H23&gt;Ranking!$H27,"W","L")))</x:f>
        <x:v>W</x:v>
      </x:c>
      <x:c r="X23" s="50" t="str">
        <x:f>IF(23=28,"—",IF(Ranking!$H23=Ranking!$H28,"T",IF(Ranking!$H23&gt;Ranking!$H28,"W","L")))</x:f>
        <x:v>W</x:v>
      </x:c>
      <x:c r="Y23" s="50" t="str">
        <x:f>IF(23=29,"—",IF(Ranking!$H23=Ranking!$H29,"T",IF(Ranking!$H23&gt;Ranking!$H29,"W","L")))</x:f>
        <x:v>W</x:v>
      </x:c>
      <x:c r="Z23" s="50" t="str">
        <x:f>IF(23=30,"—",IF(Ranking!$H23=Ranking!$H30,"T",IF(Ranking!$H23&gt;Ranking!$H30,"W","L")))</x:f>
        <x:v>W</x:v>
      </x:c>
    </x:row>
    <x:row r="24" ht="32" customHeight="1">
      <x:c r="A24" s="15" t="str">
        <x:f>Ranking!B24</x:f>
        <x:v>The Resume Place</x:v>
      </x:c>
      <x:c r="B24" s="50" t="str">
        <x:f>IF(24=6,"—",IF(Ranking!$H24=Ranking!$H6,"T",IF(Ranking!$H24&gt;Ranking!$H6,"W","L")))</x:f>
        <x:v>L</x:v>
      </x:c>
      <x:c r="C24" s="50" t="str">
        <x:f>IF(24=7,"—",IF(Ranking!$H24=Ranking!$H7,"T",IF(Ranking!$H24&gt;Ranking!$H7,"W","L")))</x:f>
        <x:v>L</x:v>
      </x:c>
      <x:c r="D24" s="50" t="str">
        <x:f>IF(24=8,"—",IF(Ranking!$H24=Ranking!$H8,"T",IF(Ranking!$H24&gt;Ranking!$H8,"W","L")))</x:f>
        <x:v>L</x:v>
      </x:c>
      <x:c r="E24" s="50" t="str">
        <x:f>IF(24=9,"—",IF(Ranking!$H24=Ranking!$H9,"T",IF(Ranking!$H24&gt;Ranking!$H9,"W","L")))</x:f>
        <x:v>L</x:v>
      </x:c>
      <x:c r="F24" s="50" t="str">
        <x:f>IF(24=10,"—",IF(Ranking!$H24=Ranking!$H10,"T",IF(Ranking!$H24&gt;Ranking!$H10,"W","L")))</x:f>
        <x:v>L</x:v>
      </x:c>
      <x:c r="G24" s="50" t="str">
        <x:f>IF(24=11,"—",IF(Ranking!$H24=Ranking!$H11,"T",IF(Ranking!$H24&gt;Ranking!$H11,"W","L")))</x:f>
        <x:v>L</x:v>
      </x:c>
      <x:c r="H24" s="50" t="str">
        <x:f>IF(24=12,"—",IF(Ranking!$H24=Ranking!$H12,"T",IF(Ranking!$H24&gt;Ranking!$H12,"W","L")))</x:f>
        <x:v>L</x:v>
      </x:c>
      <x:c r="I24" s="50" t="str">
        <x:f>IF(24=13,"—",IF(Ranking!$H24=Ranking!$H13,"T",IF(Ranking!$H24&gt;Ranking!$H13,"W","L")))</x:f>
        <x:v>L</x:v>
      </x:c>
      <x:c r="J24" s="50" t="str">
        <x:f>IF(24=14,"—",IF(Ranking!$H24=Ranking!$H14,"T",IF(Ranking!$H24&gt;Ranking!$H14,"W","L")))</x:f>
        <x:v>L</x:v>
      </x:c>
      <x:c r="K24" s="50" t="str">
        <x:f>IF(24=15,"—",IF(Ranking!$H24=Ranking!$H15,"T",IF(Ranking!$H24&gt;Ranking!$H15,"W","L")))</x:f>
        <x:v>L</x:v>
      </x:c>
      <x:c r="L24" s="50" t="str">
        <x:f>IF(24=16,"—",IF(Ranking!$H24=Ranking!$H16,"T",IF(Ranking!$H24&gt;Ranking!$H16,"W","L")))</x:f>
        <x:v>L</x:v>
      </x:c>
      <x:c r="M24" s="50" t="str">
        <x:f>IF(24=17,"—",IF(Ranking!$H24=Ranking!$H17,"T",IF(Ranking!$H24&gt;Ranking!$H17,"W","L")))</x:f>
        <x:v>L</x:v>
      </x:c>
      <x:c r="N24" s="50" t="str">
        <x:f>IF(24=18,"—",IF(Ranking!$H24=Ranking!$H18,"T",IF(Ranking!$H24&gt;Ranking!$H18,"W","L")))</x:f>
        <x:v>L</x:v>
      </x:c>
      <x:c r="O24" s="50" t="str">
        <x:f>IF(24=19,"—",IF(Ranking!$H24=Ranking!$H19,"T",IF(Ranking!$H24&gt;Ranking!$H19,"W","L")))</x:f>
        <x:v>L</x:v>
      </x:c>
      <x:c r="P24" s="50" t="str">
        <x:f>IF(24=20,"—",IF(Ranking!$H24=Ranking!$H20,"T",IF(Ranking!$H24&gt;Ranking!$H20,"W","L")))</x:f>
        <x:v>L</x:v>
      </x:c>
      <x:c r="Q24" s="50" t="str">
        <x:f>IF(24=21,"—",IF(Ranking!$H24=Ranking!$H21,"T",IF(Ranking!$H24&gt;Ranking!$H21,"W","L")))</x:f>
        <x:v>L</x:v>
      </x:c>
      <x:c r="R24" s="50" t="str">
        <x:f>IF(24=22,"—",IF(Ranking!$H24=Ranking!$H22,"T",IF(Ranking!$H24&gt;Ranking!$H22,"W","L")))</x:f>
        <x:v>L</x:v>
      </x:c>
      <x:c r="S24" s="50" t="str">
        <x:f>IF(24=23,"—",IF(Ranking!$H24=Ranking!$H23,"T",IF(Ranking!$H24&gt;Ranking!$H23,"W","L")))</x:f>
        <x:v>T</x:v>
      </x:c>
      <x:c r="T24" s="50" t="str">
        <x:f>IF(24=24,"—",IF(Ranking!$H24=Ranking!$H24,"T",IF(Ranking!$H24&gt;Ranking!$H24,"W","L")))</x:f>
        <x:v>—</x:v>
      </x:c>
      <x:c r="U24" s="50" t="str">
        <x:f>IF(24=25,"—",IF(Ranking!$H24=Ranking!$H25,"T",IF(Ranking!$H24&gt;Ranking!$H25,"W","L")))</x:f>
        <x:v>W</x:v>
      </x:c>
      <x:c r="V24" s="50" t="str">
        <x:f>IF(24=26,"—",IF(Ranking!$H24=Ranking!$H26,"T",IF(Ranking!$H24&gt;Ranking!$H26,"W","L")))</x:f>
        <x:v>W</x:v>
      </x:c>
      <x:c r="W24" s="50" t="str">
        <x:f>IF(24=27,"—",IF(Ranking!$H24=Ranking!$H27,"T",IF(Ranking!$H24&gt;Ranking!$H27,"W","L")))</x:f>
        <x:v>W</x:v>
      </x:c>
      <x:c r="X24" s="50" t="str">
        <x:f>IF(24=28,"—",IF(Ranking!$H24=Ranking!$H28,"T",IF(Ranking!$H24&gt;Ranking!$H28,"W","L")))</x:f>
        <x:v>W</x:v>
      </x:c>
      <x:c r="Y24" s="50" t="str">
        <x:f>IF(24=29,"—",IF(Ranking!$H24=Ranking!$H29,"T",IF(Ranking!$H24&gt;Ranking!$H29,"W","L")))</x:f>
        <x:v>W</x:v>
      </x:c>
      <x:c r="Z24" s="50" t="str">
        <x:f>IF(24=30,"—",IF(Ranking!$H24=Ranking!$H30,"T",IF(Ranking!$H24&gt;Ranking!$H30,"W","L")))</x:f>
        <x:v>W</x:v>
      </x:c>
    </x:row>
    <x:row r="25" ht="32" customHeight="1">
      <x:c r="A25" s="15" t="str">
        <x:f>Ranking!B25</x:f>
        <x:v>Klaxos</x:v>
      </x:c>
      <x:c r="B25" s="50" t="str">
        <x:f>IF(25=6,"—",IF(Ranking!$H25=Ranking!$H6,"T",IF(Ranking!$H25&gt;Ranking!$H6,"W","L")))</x:f>
        <x:v>L</x:v>
      </x:c>
      <x:c r="C25" s="50" t="str">
        <x:f>IF(25=7,"—",IF(Ranking!$H25=Ranking!$H7,"T",IF(Ranking!$H25&gt;Ranking!$H7,"W","L")))</x:f>
        <x:v>L</x:v>
      </x:c>
      <x:c r="D25" s="50" t="str">
        <x:f>IF(25=8,"—",IF(Ranking!$H25=Ranking!$H8,"T",IF(Ranking!$H25&gt;Ranking!$H8,"W","L")))</x:f>
        <x:v>L</x:v>
      </x:c>
      <x:c r="E25" s="50" t="str">
        <x:f>IF(25=9,"—",IF(Ranking!$H25=Ranking!$H9,"T",IF(Ranking!$H25&gt;Ranking!$H9,"W","L")))</x:f>
        <x:v>L</x:v>
      </x:c>
      <x:c r="F25" s="50" t="str">
        <x:f>IF(25=10,"—",IF(Ranking!$H25=Ranking!$H10,"T",IF(Ranking!$H25&gt;Ranking!$H10,"W","L")))</x:f>
        <x:v>L</x:v>
      </x:c>
      <x:c r="G25" s="50" t="str">
        <x:f>IF(25=11,"—",IF(Ranking!$H25=Ranking!$H11,"T",IF(Ranking!$H25&gt;Ranking!$H11,"W","L")))</x:f>
        <x:v>L</x:v>
      </x:c>
      <x:c r="H25" s="50" t="str">
        <x:f>IF(25=12,"—",IF(Ranking!$H25=Ranking!$H12,"T",IF(Ranking!$H25&gt;Ranking!$H12,"W","L")))</x:f>
        <x:v>L</x:v>
      </x:c>
      <x:c r="I25" s="50" t="str">
        <x:f>IF(25=13,"—",IF(Ranking!$H25=Ranking!$H13,"T",IF(Ranking!$H25&gt;Ranking!$H13,"W","L")))</x:f>
        <x:v>L</x:v>
      </x:c>
      <x:c r="J25" s="50" t="str">
        <x:f>IF(25=14,"—",IF(Ranking!$H25=Ranking!$H14,"T",IF(Ranking!$H25&gt;Ranking!$H14,"W","L")))</x:f>
        <x:v>L</x:v>
      </x:c>
      <x:c r="K25" s="50" t="str">
        <x:f>IF(25=15,"—",IF(Ranking!$H25=Ranking!$H15,"T",IF(Ranking!$H25&gt;Ranking!$H15,"W","L")))</x:f>
        <x:v>L</x:v>
      </x:c>
      <x:c r="L25" s="50" t="str">
        <x:f>IF(25=16,"—",IF(Ranking!$H25=Ranking!$H16,"T",IF(Ranking!$H25&gt;Ranking!$H16,"W","L")))</x:f>
        <x:v>L</x:v>
      </x:c>
      <x:c r="M25" s="50" t="str">
        <x:f>IF(25=17,"—",IF(Ranking!$H25=Ranking!$H17,"T",IF(Ranking!$H25&gt;Ranking!$H17,"W","L")))</x:f>
        <x:v>L</x:v>
      </x:c>
      <x:c r="N25" s="50" t="str">
        <x:f>IF(25=18,"—",IF(Ranking!$H25=Ranking!$H18,"T",IF(Ranking!$H25&gt;Ranking!$H18,"W","L")))</x:f>
        <x:v>L</x:v>
      </x:c>
      <x:c r="O25" s="50" t="str">
        <x:f>IF(25=19,"—",IF(Ranking!$H25=Ranking!$H19,"T",IF(Ranking!$H25&gt;Ranking!$H19,"W","L")))</x:f>
        <x:v>L</x:v>
      </x:c>
      <x:c r="P25" s="50" t="str">
        <x:f>IF(25=20,"—",IF(Ranking!$H25=Ranking!$H20,"T",IF(Ranking!$H25&gt;Ranking!$H20,"W","L")))</x:f>
        <x:v>L</x:v>
      </x:c>
      <x:c r="Q25" s="50" t="str">
        <x:f>IF(25=21,"—",IF(Ranking!$H25=Ranking!$H21,"T",IF(Ranking!$H25&gt;Ranking!$H21,"W","L")))</x:f>
        <x:v>L</x:v>
      </x:c>
      <x:c r="R25" s="50" t="str">
        <x:f>IF(25=22,"—",IF(Ranking!$H25=Ranking!$H22,"T",IF(Ranking!$H25&gt;Ranking!$H22,"W","L")))</x:f>
        <x:v>L</x:v>
      </x:c>
      <x:c r="S25" s="50" t="str">
        <x:f>IF(25=23,"—",IF(Ranking!$H25=Ranking!$H23,"T",IF(Ranking!$H25&gt;Ranking!$H23,"W","L")))</x:f>
        <x:v>L</x:v>
      </x:c>
      <x:c r="T25" s="50" t="str">
        <x:f>IF(25=24,"—",IF(Ranking!$H25=Ranking!$H24,"T",IF(Ranking!$H25&gt;Ranking!$H24,"W","L")))</x:f>
        <x:v>L</x:v>
      </x:c>
      <x:c r="U25" s="50" t="str">
        <x:f>IF(25=25,"—",IF(Ranking!$H25=Ranking!$H25,"T",IF(Ranking!$H25&gt;Ranking!$H25,"W","L")))</x:f>
        <x:v>—</x:v>
      </x:c>
      <x:c r="V25" s="50" t="str">
        <x:f>IF(25=26,"—",IF(Ranking!$H25=Ranking!$H26,"T",IF(Ranking!$H25&gt;Ranking!$H26,"W","L")))</x:f>
        <x:v>W</x:v>
      </x:c>
      <x:c r="W25" s="50" t="str">
        <x:f>IF(25=27,"—",IF(Ranking!$H25=Ranking!$H27,"T",IF(Ranking!$H25&gt;Ranking!$H27,"W","L")))</x:f>
        <x:v>W</x:v>
      </x:c>
      <x:c r="X25" s="50" t="str">
        <x:f>IF(25=28,"—",IF(Ranking!$H25=Ranking!$H28,"T",IF(Ranking!$H25&gt;Ranking!$H28,"W","L")))</x:f>
        <x:v>W</x:v>
      </x:c>
      <x:c r="Y25" s="50" t="str">
        <x:f>IF(25=29,"—",IF(Ranking!$H25=Ranking!$H29,"T",IF(Ranking!$H25&gt;Ranking!$H29,"W","L")))</x:f>
        <x:v>W</x:v>
      </x:c>
      <x:c r="Z25" s="50" t="str">
        <x:f>IF(25=30,"—",IF(Ranking!$H25=Ranking!$H30,"T",IF(Ranking!$H25&gt;Ranking!$H30,"W","L")))</x:f>
        <x:v>W</x:v>
      </x:c>
    </x:row>
    <x:row r="26" ht="32" customHeight="1">
      <x:c r="A26" s="15" t="str">
        <x:f>Ranking!B26</x:f>
        <x:v>Resumeble</x:v>
      </x:c>
      <x:c r="B26" s="50" t="str">
        <x:f>IF(26=6,"—",IF(Ranking!$H26=Ranking!$H6,"T",IF(Ranking!$H26&gt;Ranking!$H6,"W","L")))</x:f>
        <x:v>L</x:v>
      </x:c>
      <x:c r="C26" s="50" t="str">
        <x:f>IF(26=7,"—",IF(Ranking!$H26=Ranking!$H7,"T",IF(Ranking!$H26&gt;Ranking!$H7,"W","L")))</x:f>
        <x:v>L</x:v>
      </x:c>
      <x:c r="D26" s="50" t="str">
        <x:f>IF(26=8,"—",IF(Ranking!$H26=Ranking!$H8,"T",IF(Ranking!$H26&gt;Ranking!$H8,"W","L")))</x:f>
        <x:v>L</x:v>
      </x:c>
      <x:c r="E26" s="50" t="str">
        <x:f>IF(26=9,"—",IF(Ranking!$H26=Ranking!$H9,"T",IF(Ranking!$H26&gt;Ranking!$H9,"W","L")))</x:f>
        <x:v>L</x:v>
      </x:c>
      <x:c r="F26" s="50" t="str">
        <x:f>IF(26=10,"—",IF(Ranking!$H26=Ranking!$H10,"T",IF(Ranking!$H26&gt;Ranking!$H10,"W","L")))</x:f>
        <x:v>L</x:v>
      </x:c>
      <x:c r="G26" s="50" t="str">
        <x:f>IF(26=11,"—",IF(Ranking!$H26=Ranking!$H11,"T",IF(Ranking!$H26&gt;Ranking!$H11,"W","L")))</x:f>
        <x:v>L</x:v>
      </x:c>
      <x:c r="H26" s="50" t="str">
        <x:f>IF(26=12,"—",IF(Ranking!$H26=Ranking!$H12,"T",IF(Ranking!$H26&gt;Ranking!$H12,"W","L")))</x:f>
        <x:v>L</x:v>
      </x:c>
      <x:c r="I26" s="50" t="str">
        <x:f>IF(26=13,"—",IF(Ranking!$H26=Ranking!$H13,"T",IF(Ranking!$H26&gt;Ranking!$H13,"W","L")))</x:f>
        <x:v>L</x:v>
      </x:c>
      <x:c r="J26" s="50" t="str">
        <x:f>IF(26=14,"—",IF(Ranking!$H26=Ranking!$H14,"T",IF(Ranking!$H26&gt;Ranking!$H14,"W","L")))</x:f>
        <x:v>L</x:v>
      </x:c>
      <x:c r="K26" s="50" t="str">
        <x:f>IF(26=15,"—",IF(Ranking!$H26=Ranking!$H15,"T",IF(Ranking!$H26&gt;Ranking!$H15,"W","L")))</x:f>
        <x:v>L</x:v>
      </x:c>
      <x:c r="L26" s="50" t="str">
        <x:f>IF(26=16,"—",IF(Ranking!$H26=Ranking!$H16,"T",IF(Ranking!$H26&gt;Ranking!$H16,"W","L")))</x:f>
        <x:v>L</x:v>
      </x:c>
      <x:c r="M26" s="50" t="str">
        <x:f>IF(26=17,"—",IF(Ranking!$H26=Ranking!$H17,"T",IF(Ranking!$H26&gt;Ranking!$H17,"W","L")))</x:f>
        <x:v>L</x:v>
      </x:c>
      <x:c r="N26" s="50" t="str">
        <x:f>IF(26=18,"—",IF(Ranking!$H26=Ranking!$H18,"T",IF(Ranking!$H26&gt;Ranking!$H18,"W","L")))</x:f>
        <x:v>L</x:v>
      </x:c>
      <x:c r="O26" s="50" t="str">
        <x:f>IF(26=19,"—",IF(Ranking!$H26=Ranking!$H19,"T",IF(Ranking!$H26&gt;Ranking!$H19,"W","L")))</x:f>
        <x:v>L</x:v>
      </x:c>
      <x:c r="P26" s="50" t="str">
        <x:f>IF(26=20,"—",IF(Ranking!$H26=Ranking!$H20,"T",IF(Ranking!$H26&gt;Ranking!$H20,"W","L")))</x:f>
        <x:v>L</x:v>
      </x:c>
      <x:c r="Q26" s="50" t="str">
        <x:f>IF(26=21,"—",IF(Ranking!$H26=Ranking!$H21,"T",IF(Ranking!$H26&gt;Ranking!$H21,"W","L")))</x:f>
        <x:v>L</x:v>
      </x:c>
      <x:c r="R26" s="50" t="str">
        <x:f>IF(26=22,"—",IF(Ranking!$H26=Ranking!$H22,"T",IF(Ranking!$H26&gt;Ranking!$H22,"W","L")))</x:f>
        <x:v>L</x:v>
      </x:c>
      <x:c r="S26" s="50" t="str">
        <x:f>IF(26=23,"—",IF(Ranking!$H26=Ranking!$H23,"T",IF(Ranking!$H26&gt;Ranking!$H23,"W","L")))</x:f>
        <x:v>L</x:v>
      </x:c>
      <x:c r="T26" s="50" t="str">
        <x:f>IF(26=24,"—",IF(Ranking!$H26=Ranking!$H24,"T",IF(Ranking!$H26&gt;Ranking!$H24,"W","L")))</x:f>
        <x:v>L</x:v>
      </x:c>
      <x:c r="U26" s="50" t="str">
        <x:f>IF(26=25,"—",IF(Ranking!$H26=Ranking!$H25,"T",IF(Ranking!$H26&gt;Ranking!$H25,"W","L")))</x:f>
        <x:v>L</x:v>
      </x:c>
      <x:c r="V26" s="50" t="str">
        <x:f>IF(26=26,"—",IF(Ranking!$H26=Ranking!$H26,"T",IF(Ranking!$H26&gt;Ranking!$H26,"W","L")))</x:f>
        <x:v>—</x:v>
      </x:c>
      <x:c r="W26" s="50" t="str">
        <x:f>IF(26=27,"—",IF(Ranking!$H26=Ranking!$H27,"T",IF(Ranking!$H26&gt;Ranking!$H27,"W","L")))</x:f>
        <x:v>T</x:v>
      </x:c>
      <x:c r="X26" s="50" t="str">
        <x:f>IF(26=28,"—",IF(Ranking!$H26=Ranking!$H28,"T",IF(Ranking!$H26&gt;Ranking!$H28,"W","L")))</x:f>
        <x:v>W</x:v>
      </x:c>
      <x:c r="Y26" s="50" t="str">
        <x:f>IF(26=29,"—",IF(Ranking!$H26=Ranking!$H29,"T",IF(Ranking!$H26&gt;Ranking!$H29,"W","L")))</x:f>
        <x:v>W</x:v>
      </x:c>
      <x:c r="Z26" s="50" t="str">
        <x:f>IF(26=30,"—",IF(Ranking!$H26=Ranking!$H30,"T",IF(Ranking!$H26&gt;Ranking!$H30,"W","L")))</x:f>
        <x:v>W</x:v>
      </x:c>
    </x:row>
    <x:row r="27" ht="32" customHeight="1">
      <x:c r="A27" s="15" t="str">
        <x:f>Ranking!B27</x:f>
        <x:v>Resume Target</x:v>
      </x:c>
      <x:c r="B27" s="50" t="str">
        <x:f>IF(27=6,"—",IF(Ranking!$H27=Ranking!$H6,"T",IF(Ranking!$H27&gt;Ranking!$H6,"W","L")))</x:f>
        <x:v>L</x:v>
      </x:c>
      <x:c r="C27" s="50" t="str">
        <x:f>IF(27=7,"—",IF(Ranking!$H27=Ranking!$H7,"T",IF(Ranking!$H27&gt;Ranking!$H7,"W","L")))</x:f>
        <x:v>L</x:v>
      </x:c>
      <x:c r="D27" s="50" t="str">
        <x:f>IF(27=8,"—",IF(Ranking!$H27=Ranking!$H8,"T",IF(Ranking!$H27&gt;Ranking!$H8,"W","L")))</x:f>
        <x:v>L</x:v>
      </x:c>
      <x:c r="E27" s="50" t="str">
        <x:f>IF(27=9,"—",IF(Ranking!$H27=Ranking!$H9,"T",IF(Ranking!$H27&gt;Ranking!$H9,"W","L")))</x:f>
        <x:v>L</x:v>
      </x:c>
      <x:c r="F27" s="50" t="str">
        <x:f>IF(27=10,"—",IF(Ranking!$H27=Ranking!$H10,"T",IF(Ranking!$H27&gt;Ranking!$H10,"W","L")))</x:f>
        <x:v>L</x:v>
      </x:c>
      <x:c r="G27" s="50" t="str">
        <x:f>IF(27=11,"—",IF(Ranking!$H27=Ranking!$H11,"T",IF(Ranking!$H27&gt;Ranking!$H11,"W","L")))</x:f>
        <x:v>L</x:v>
      </x:c>
      <x:c r="H27" s="50" t="str">
        <x:f>IF(27=12,"—",IF(Ranking!$H27=Ranking!$H12,"T",IF(Ranking!$H27&gt;Ranking!$H12,"W","L")))</x:f>
        <x:v>L</x:v>
      </x:c>
      <x:c r="I27" s="50" t="str">
        <x:f>IF(27=13,"—",IF(Ranking!$H27=Ranking!$H13,"T",IF(Ranking!$H27&gt;Ranking!$H13,"W","L")))</x:f>
        <x:v>L</x:v>
      </x:c>
      <x:c r="J27" s="50" t="str">
        <x:f>IF(27=14,"—",IF(Ranking!$H27=Ranking!$H14,"T",IF(Ranking!$H27&gt;Ranking!$H14,"W","L")))</x:f>
        <x:v>L</x:v>
      </x:c>
      <x:c r="K27" s="50" t="str">
        <x:f>IF(27=15,"—",IF(Ranking!$H27=Ranking!$H15,"T",IF(Ranking!$H27&gt;Ranking!$H15,"W","L")))</x:f>
        <x:v>L</x:v>
      </x:c>
      <x:c r="L27" s="50" t="str">
        <x:f>IF(27=16,"—",IF(Ranking!$H27=Ranking!$H16,"T",IF(Ranking!$H27&gt;Ranking!$H16,"W","L")))</x:f>
        <x:v>L</x:v>
      </x:c>
      <x:c r="M27" s="50" t="str">
        <x:f>IF(27=17,"—",IF(Ranking!$H27=Ranking!$H17,"T",IF(Ranking!$H27&gt;Ranking!$H17,"W","L")))</x:f>
        <x:v>L</x:v>
      </x:c>
      <x:c r="N27" s="50" t="str">
        <x:f>IF(27=18,"—",IF(Ranking!$H27=Ranking!$H18,"T",IF(Ranking!$H27&gt;Ranking!$H18,"W","L")))</x:f>
        <x:v>L</x:v>
      </x:c>
      <x:c r="O27" s="50" t="str">
        <x:f>IF(27=19,"—",IF(Ranking!$H27=Ranking!$H19,"T",IF(Ranking!$H27&gt;Ranking!$H19,"W","L")))</x:f>
        <x:v>L</x:v>
      </x:c>
      <x:c r="P27" s="50" t="str">
        <x:f>IF(27=20,"—",IF(Ranking!$H27=Ranking!$H20,"T",IF(Ranking!$H27&gt;Ranking!$H20,"W","L")))</x:f>
        <x:v>L</x:v>
      </x:c>
      <x:c r="Q27" s="50" t="str">
        <x:f>IF(27=21,"—",IF(Ranking!$H27=Ranking!$H21,"T",IF(Ranking!$H27&gt;Ranking!$H21,"W","L")))</x:f>
        <x:v>L</x:v>
      </x:c>
      <x:c r="R27" s="50" t="str">
        <x:f>IF(27=22,"—",IF(Ranking!$H27=Ranking!$H22,"T",IF(Ranking!$H27&gt;Ranking!$H22,"W","L")))</x:f>
        <x:v>L</x:v>
      </x:c>
      <x:c r="S27" s="50" t="str">
        <x:f>IF(27=23,"—",IF(Ranking!$H27=Ranking!$H23,"T",IF(Ranking!$H27&gt;Ranking!$H23,"W","L")))</x:f>
        <x:v>L</x:v>
      </x:c>
      <x:c r="T27" s="50" t="str">
        <x:f>IF(27=24,"—",IF(Ranking!$H27=Ranking!$H24,"T",IF(Ranking!$H27&gt;Ranking!$H24,"W","L")))</x:f>
        <x:v>L</x:v>
      </x:c>
      <x:c r="U27" s="50" t="str">
        <x:f>IF(27=25,"—",IF(Ranking!$H27=Ranking!$H25,"T",IF(Ranking!$H27&gt;Ranking!$H25,"W","L")))</x:f>
        <x:v>L</x:v>
      </x:c>
      <x:c r="V27" s="50" t="str">
        <x:f>IF(27=26,"—",IF(Ranking!$H27=Ranking!$H26,"T",IF(Ranking!$H27&gt;Ranking!$H26,"W","L")))</x:f>
        <x:v>T</x:v>
      </x:c>
      <x:c r="W27" s="50" t="str">
        <x:f>IF(27=27,"—",IF(Ranking!$H27=Ranking!$H27,"T",IF(Ranking!$H27&gt;Ranking!$H27,"W","L")))</x:f>
        <x:v>—</x:v>
      </x:c>
      <x:c r="X27" s="50" t="str">
        <x:f>IF(27=28,"—",IF(Ranking!$H27=Ranking!$H28,"T",IF(Ranking!$H27&gt;Ranking!$H28,"W","L")))</x:f>
        <x:v>W</x:v>
      </x:c>
      <x:c r="Y27" s="50" t="str">
        <x:f>IF(27=29,"—",IF(Ranking!$H27=Ranking!$H29,"T",IF(Ranking!$H27&gt;Ranking!$H29,"W","L")))</x:f>
        <x:v>W</x:v>
      </x:c>
      <x:c r="Z27" s="50" t="str">
        <x:f>IF(27=30,"—",IF(Ranking!$H27=Ranking!$H30,"T",IF(Ranking!$H27&gt;Ranking!$H30,"W","L")))</x:f>
        <x:v>W</x:v>
      </x:c>
    </x:row>
    <x:row r="28" ht="32" customHeight="1">
      <x:c r="A28" s="15" t="str">
        <x:f>Ranking!B28</x:f>
        <x:v>Resume Professional Writers</x:v>
      </x:c>
      <x:c r="B28" s="50" t="str">
        <x:f>IF(28=6,"—",IF(Ranking!$H28=Ranking!$H6,"T",IF(Ranking!$H28&gt;Ranking!$H6,"W","L")))</x:f>
        <x:v>L</x:v>
      </x:c>
      <x:c r="C28" s="50" t="str">
        <x:f>IF(28=7,"—",IF(Ranking!$H28=Ranking!$H7,"T",IF(Ranking!$H28&gt;Ranking!$H7,"W","L")))</x:f>
        <x:v>L</x:v>
      </x:c>
      <x:c r="D28" s="50" t="str">
        <x:f>IF(28=8,"—",IF(Ranking!$H28=Ranking!$H8,"T",IF(Ranking!$H28&gt;Ranking!$H8,"W","L")))</x:f>
        <x:v>L</x:v>
      </x:c>
      <x:c r="E28" s="50" t="str">
        <x:f>IF(28=9,"—",IF(Ranking!$H28=Ranking!$H9,"T",IF(Ranking!$H28&gt;Ranking!$H9,"W","L")))</x:f>
        <x:v>L</x:v>
      </x:c>
      <x:c r="F28" s="50" t="str">
        <x:f>IF(28=10,"—",IF(Ranking!$H28=Ranking!$H10,"T",IF(Ranking!$H28&gt;Ranking!$H10,"W","L")))</x:f>
        <x:v>L</x:v>
      </x:c>
      <x:c r="G28" s="50" t="str">
        <x:f>IF(28=11,"—",IF(Ranking!$H28=Ranking!$H11,"T",IF(Ranking!$H28&gt;Ranking!$H11,"W","L")))</x:f>
        <x:v>L</x:v>
      </x:c>
      <x:c r="H28" s="50" t="str">
        <x:f>IF(28=12,"—",IF(Ranking!$H28=Ranking!$H12,"T",IF(Ranking!$H28&gt;Ranking!$H12,"W","L")))</x:f>
        <x:v>L</x:v>
      </x:c>
      <x:c r="I28" s="50" t="str">
        <x:f>IF(28=13,"—",IF(Ranking!$H28=Ranking!$H13,"T",IF(Ranking!$H28&gt;Ranking!$H13,"W","L")))</x:f>
        <x:v>L</x:v>
      </x:c>
      <x:c r="J28" s="50" t="str">
        <x:f>IF(28=14,"—",IF(Ranking!$H28=Ranking!$H14,"T",IF(Ranking!$H28&gt;Ranking!$H14,"W","L")))</x:f>
        <x:v>L</x:v>
      </x:c>
      <x:c r="K28" s="50" t="str">
        <x:f>IF(28=15,"—",IF(Ranking!$H28=Ranking!$H15,"T",IF(Ranking!$H28&gt;Ranking!$H15,"W","L")))</x:f>
        <x:v>L</x:v>
      </x:c>
      <x:c r="L28" s="50" t="str">
        <x:f>IF(28=16,"—",IF(Ranking!$H28=Ranking!$H16,"T",IF(Ranking!$H28&gt;Ranking!$H16,"W","L")))</x:f>
        <x:v>L</x:v>
      </x:c>
      <x:c r="M28" s="50" t="str">
        <x:f>IF(28=17,"—",IF(Ranking!$H28=Ranking!$H17,"T",IF(Ranking!$H28&gt;Ranking!$H17,"W","L")))</x:f>
        <x:v>L</x:v>
      </x:c>
      <x:c r="N28" s="50" t="str">
        <x:f>IF(28=18,"—",IF(Ranking!$H28=Ranking!$H18,"T",IF(Ranking!$H28&gt;Ranking!$H18,"W","L")))</x:f>
        <x:v>L</x:v>
      </x:c>
      <x:c r="O28" s="50" t="str">
        <x:f>IF(28=19,"—",IF(Ranking!$H28=Ranking!$H19,"T",IF(Ranking!$H28&gt;Ranking!$H19,"W","L")))</x:f>
        <x:v>L</x:v>
      </x:c>
      <x:c r="P28" s="50" t="str">
        <x:f>IF(28=20,"—",IF(Ranking!$H28=Ranking!$H20,"T",IF(Ranking!$H28&gt;Ranking!$H20,"W","L")))</x:f>
        <x:v>L</x:v>
      </x:c>
      <x:c r="Q28" s="50" t="str">
        <x:f>IF(28=21,"—",IF(Ranking!$H28=Ranking!$H21,"T",IF(Ranking!$H28&gt;Ranking!$H21,"W","L")))</x:f>
        <x:v>L</x:v>
      </x:c>
      <x:c r="R28" s="50" t="str">
        <x:f>IF(28=22,"—",IF(Ranking!$H28=Ranking!$H22,"T",IF(Ranking!$H28&gt;Ranking!$H22,"W","L")))</x:f>
        <x:v>L</x:v>
      </x:c>
      <x:c r="S28" s="50" t="str">
        <x:f>IF(28=23,"—",IF(Ranking!$H28=Ranking!$H23,"T",IF(Ranking!$H28&gt;Ranking!$H23,"W","L")))</x:f>
        <x:v>L</x:v>
      </x:c>
      <x:c r="T28" s="50" t="str">
        <x:f>IF(28=24,"—",IF(Ranking!$H28=Ranking!$H24,"T",IF(Ranking!$H28&gt;Ranking!$H24,"W","L")))</x:f>
        <x:v>L</x:v>
      </x:c>
      <x:c r="U28" s="50" t="str">
        <x:f>IF(28=25,"—",IF(Ranking!$H28=Ranking!$H25,"T",IF(Ranking!$H28&gt;Ranking!$H25,"W","L")))</x:f>
        <x:v>L</x:v>
      </x:c>
      <x:c r="V28" s="50" t="str">
        <x:f>IF(28=26,"—",IF(Ranking!$H28=Ranking!$H26,"T",IF(Ranking!$H28&gt;Ranking!$H26,"W","L")))</x:f>
        <x:v>L</x:v>
      </x:c>
      <x:c r="W28" s="50" t="str">
        <x:f>IF(28=27,"—",IF(Ranking!$H28=Ranking!$H27,"T",IF(Ranking!$H28&gt;Ranking!$H27,"W","L")))</x:f>
        <x:v>L</x:v>
      </x:c>
      <x:c r="X28" s="50" t="str">
        <x:f>IF(28=28,"—",IF(Ranking!$H28=Ranking!$H28,"T",IF(Ranking!$H28&gt;Ranking!$H28,"W","L")))</x:f>
        <x:v>—</x:v>
      </x:c>
      <x:c r="Y28" s="50" t="str">
        <x:f>IF(28=29,"—",IF(Ranking!$H28=Ranking!$H29,"T",IF(Ranking!$H28&gt;Ranking!$H29,"W","L")))</x:f>
        <x:v>W</x:v>
      </x:c>
      <x:c r="Z28" s="50" t="str">
        <x:f>IF(28=30,"—",IF(Ranking!$H28=Ranking!$H30,"T",IF(Ranking!$H28&gt;Ranking!$H30,"W","L")))</x:f>
        <x:v>W</x:v>
      </x:c>
    </x:row>
    <x:row r="29" ht="32" customHeight="1">
      <x:c r="A29" s="15" t="str">
        <x:f>Ranking!B29</x:f>
        <x:v>TopResume</x:v>
      </x:c>
      <x:c r="B29" s="50" t="str">
        <x:f>IF(29=6,"—",IF(Ranking!$H29=Ranking!$H6,"T",IF(Ranking!$H29&gt;Ranking!$H6,"W","L")))</x:f>
        <x:v>L</x:v>
      </x:c>
      <x:c r="C29" s="50" t="str">
        <x:f>IF(29=7,"—",IF(Ranking!$H29=Ranking!$H7,"T",IF(Ranking!$H29&gt;Ranking!$H7,"W","L")))</x:f>
        <x:v>L</x:v>
      </x:c>
      <x:c r="D29" s="50" t="str">
        <x:f>IF(29=8,"—",IF(Ranking!$H29=Ranking!$H8,"T",IF(Ranking!$H29&gt;Ranking!$H8,"W","L")))</x:f>
        <x:v>L</x:v>
      </x:c>
      <x:c r="E29" s="50" t="str">
        <x:f>IF(29=9,"—",IF(Ranking!$H29=Ranking!$H9,"T",IF(Ranking!$H29&gt;Ranking!$H9,"W","L")))</x:f>
        <x:v>L</x:v>
      </x:c>
      <x:c r="F29" s="50" t="str">
        <x:f>IF(29=10,"—",IF(Ranking!$H29=Ranking!$H10,"T",IF(Ranking!$H29&gt;Ranking!$H10,"W","L")))</x:f>
        <x:v>L</x:v>
      </x:c>
      <x:c r="G29" s="50" t="str">
        <x:f>IF(29=11,"—",IF(Ranking!$H29=Ranking!$H11,"T",IF(Ranking!$H29&gt;Ranking!$H11,"W","L")))</x:f>
        <x:v>L</x:v>
      </x:c>
      <x:c r="H29" s="50" t="str">
        <x:f>IF(29=12,"—",IF(Ranking!$H29=Ranking!$H12,"T",IF(Ranking!$H29&gt;Ranking!$H12,"W","L")))</x:f>
        <x:v>L</x:v>
      </x:c>
      <x:c r="I29" s="50" t="str">
        <x:f>IF(29=13,"—",IF(Ranking!$H29=Ranking!$H13,"T",IF(Ranking!$H29&gt;Ranking!$H13,"W","L")))</x:f>
        <x:v>L</x:v>
      </x:c>
      <x:c r="J29" s="50" t="str">
        <x:f>IF(29=14,"—",IF(Ranking!$H29=Ranking!$H14,"T",IF(Ranking!$H29&gt;Ranking!$H14,"W","L")))</x:f>
        <x:v>L</x:v>
      </x:c>
      <x:c r="K29" s="50" t="str">
        <x:f>IF(29=15,"—",IF(Ranking!$H29=Ranking!$H15,"T",IF(Ranking!$H29&gt;Ranking!$H15,"W","L")))</x:f>
        <x:v>L</x:v>
      </x:c>
      <x:c r="L29" s="50" t="str">
        <x:f>IF(29=16,"—",IF(Ranking!$H29=Ranking!$H16,"T",IF(Ranking!$H29&gt;Ranking!$H16,"W","L")))</x:f>
        <x:v>L</x:v>
      </x:c>
      <x:c r="M29" s="50" t="str">
        <x:f>IF(29=17,"—",IF(Ranking!$H29=Ranking!$H17,"T",IF(Ranking!$H29&gt;Ranking!$H17,"W","L")))</x:f>
        <x:v>L</x:v>
      </x:c>
      <x:c r="N29" s="50" t="str">
        <x:f>IF(29=18,"—",IF(Ranking!$H29=Ranking!$H18,"T",IF(Ranking!$H29&gt;Ranking!$H18,"W","L")))</x:f>
        <x:v>L</x:v>
      </x:c>
      <x:c r="O29" s="50" t="str">
        <x:f>IF(29=19,"—",IF(Ranking!$H29=Ranking!$H19,"T",IF(Ranking!$H29&gt;Ranking!$H19,"W","L")))</x:f>
        <x:v>L</x:v>
      </x:c>
      <x:c r="P29" s="50" t="str">
        <x:f>IF(29=20,"—",IF(Ranking!$H29=Ranking!$H20,"T",IF(Ranking!$H29&gt;Ranking!$H20,"W","L")))</x:f>
        <x:v>L</x:v>
      </x:c>
      <x:c r="Q29" s="50" t="str">
        <x:f>IF(29=21,"—",IF(Ranking!$H29=Ranking!$H21,"T",IF(Ranking!$H29&gt;Ranking!$H21,"W","L")))</x:f>
        <x:v>L</x:v>
      </x:c>
      <x:c r="R29" s="50" t="str">
        <x:f>IF(29=22,"—",IF(Ranking!$H29=Ranking!$H22,"T",IF(Ranking!$H29&gt;Ranking!$H22,"W","L")))</x:f>
        <x:v>L</x:v>
      </x:c>
      <x:c r="S29" s="50" t="str">
        <x:f>IF(29=23,"—",IF(Ranking!$H29=Ranking!$H23,"T",IF(Ranking!$H29&gt;Ranking!$H23,"W","L")))</x:f>
        <x:v>L</x:v>
      </x:c>
      <x:c r="T29" s="50" t="str">
        <x:f>IF(29=24,"—",IF(Ranking!$H29=Ranking!$H24,"T",IF(Ranking!$H29&gt;Ranking!$H24,"W","L")))</x:f>
        <x:v>L</x:v>
      </x:c>
      <x:c r="U29" s="50" t="str">
        <x:f>IF(29=25,"—",IF(Ranking!$H29=Ranking!$H25,"T",IF(Ranking!$H29&gt;Ranking!$H25,"W","L")))</x:f>
        <x:v>L</x:v>
      </x:c>
      <x:c r="V29" s="50" t="str">
        <x:f>IF(29=26,"—",IF(Ranking!$H29=Ranking!$H26,"T",IF(Ranking!$H29&gt;Ranking!$H26,"W","L")))</x:f>
        <x:v>L</x:v>
      </x:c>
      <x:c r="W29" s="50" t="str">
        <x:f>IF(29=27,"—",IF(Ranking!$H29=Ranking!$H27,"T",IF(Ranking!$H29&gt;Ranking!$H27,"W","L")))</x:f>
        <x:v>L</x:v>
      </x:c>
      <x:c r="X29" s="50" t="str">
        <x:f>IF(29=28,"—",IF(Ranking!$H29=Ranking!$H28,"T",IF(Ranking!$H29&gt;Ranking!$H28,"W","L")))</x:f>
        <x:v>L</x:v>
      </x:c>
      <x:c r="Y29" s="50" t="str">
        <x:f>IF(29=29,"—",IF(Ranking!$H29=Ranking!$H29,"T",IF(Ranking!$H29&gt;Ranking!$H29,"W","L")))</x:f>
        <x:v>—</x:v>
      </x:c>
      <x:c r="Z29" s="50" t="str">
        <x:f>IF(29=30,"—",IF(Ranking!$H29=Ranking!$H30,"T",IF(Ranking!$H29&gt;Ranking!$H30,"W","L")))</x:f>
        <x:v>W</x:v>
      </x:c>
    </x:row>
    <x:row r="30" ht="32" customHeight="1">
      <x:c r="A30" s="15" t="str">
        <x:f>Ranking!B30</x:f>
        <x:v>Resume Writing Group</x:v>
      </x:c>
      <x:c r="B30" s="50" t="str">
        <x:f>IF(30=6,"—",IF(Ranking!$H30=Ranking!$H6,"T",IF(Ranking!$H30&gt;Ranking!$H6,"W","L")))</x:f>
        <x:v>L</x:v>
      </x:c>
      <x:c r="C30" s="50" t="str">
        <x:f>IF(30=7,"—",IF(Ranking!$H30=Ranking!$H7,"T",IF(Ranking!$H30&gt;Ranking!$H7,"W","L")))</x:f>
        <x:v>L</x:v>
      </x:c>
      <x:c r="D30" s="50" t="str">
        <x:f>IF(30=8,"—",IF(Ranking!$H30=Ranking!$H8,"T",IF(Ranking!$H30&gt;Ranking!$H8,"W","L")))</x:f>
        <x:v>L</x:v>
      </x:c>
      <x:c r="E30" s="50" t="str">
        <x:f>IF(30=9,"—",IF(Ranking!$H30=Ranking!$H9,"T",IF(Ranking!$H30&gt;Ranking!$H9,"W","L")))</x:f>
        <x:v>L</x:v>
      </x:c>
      <x:c r="F30" s="50" t="str">
        <x:f>IF(30=10,"—",IF(Ranking!$H30=Ranking!$H10,"T",IF(Ranking!$H30&gt;Ranking!$H10,"W","L")))</x:f>
        <x:v>L</x:v>
      </x:c>
      <x:c r="G30" s="50" t="str">
        <x:f>IF(30=11,"—",IF(Ranking!$H30=Ranking!$H11,"T",IF(Ranking!$H30&gt;Ranking!$H11,"W","L")))</x:f>
        <x:v>L</x:v>
      </x:c>
      <x:c r="H30" s="50" t="str">
        <x:f>IF(30=12,"—",IF(Ranking!$H30=Ranking!$H12,"T",IF(Ranking!$H30&gt;Ranking!$H12,"W","L")))</x:f>
        <x:v>L</x:v>
      </x:c>
      <x:c r="I30" s="50" t="str">
        <x:f>IF(30=13,"—",IF(Ranking!$H30=Ranking!$H13,"T",IF(Ranking!$H30&gt;Ranking!$H13,"W","L")))</x:f>
        <x:v>L</x:v>
      </x:c>
      <x:c r="J30" s="50" t="str">
        <x:f>IF(30=14,"—",IF(Ranking!$H30=Ranking!$H14,"T",IF(Ranking!$H30&gt;Ranking!$H14,"W","L")))</x:f>
        <x:v>L</x:v>
      </x:c>
      <x:c r="K30" s="50" t="str">
        <x:f>IF(30=15,"—",IF(Ranking!$H30=Ranking!$H15,"T",IF(Ranking!$H30&gt;Ranking!$H15,"W","L")))</x:f>
        <x:v>L</x:v>
      </x:c>
      <x:c r="L30" s="50" t="str">
        <x:f>IF(30=16,"—",IF(Ranking!$H30=Ranking!$H16,"T",IF(Ranking!$H30&gt;Ranking!$H16,"W","L")))</x:f>
        <x:v>L</x:v>
      </x:c>
      <x:c r="M30" s="50" t="str">
        <x:f>IF(30=17,"—",IF(Ranking!$H30=Ranking!$H17,"T",IF(Ranking!$H30&gt;Ranking!$H17,"W","L")))</x:f>
        <x:v>L</x:v>
      </x:c>
      <x:c r="N30" s="50" t="str">
        <x:f>IF(30=18,"—",IF(Ranking!$H30=Ranking!$H18,"T",IF(Ranking!$H30&gt;Ranking!$H18,"W","L")))</x:f>
        <x:v>L</x:v>
      </x:c>
      <x:c r="O30" s="50" t="str">
        <x:f>IF(30=19,"—",IF(Ranking!$H30=Ranking!$H19,"T",IF(Ranking!$H30&gt;Ranking!$H19,"W","L")))</x:f>
        <x:v>L</x:v>
      </x:c>
      <x:c r="P30" s="50" t="str">
        <x:f>IF(30=20,"—",IF(Ranking!$H30=Ranking!$H20,"T",IF(Ranking!$H30&gt;Ranking!$H20,"W","L")))</x:f>
        <x:v>L</x:v>
      </x:c>
      <x:c r="Q30" s="50" t="str">
        <x:f>IF(30=21,"—",IF(Ranking!$H30=Ranking!$H21,"T",IF(Ranking!$H30&gt;Ranking!$H21,"W","L")))</x:f>
        <x:v>L</x:v>
      </x:c>
      <x:c r="R30" s="50" t="str">
        <x:f>IF(30=22,"—",IF(Ranking!$H30=Ranking!$H22,"T",IF(Ranking!$H30&gt;Ranking!$H22,"W","L")))</x:f>
        <x:v>L</x:v>
      </x:c>
      <x:c r="S30" s="50" t="str">
        <x:f>IF(30=23,"—",IF(Ranking!$H30=Ranking!$H23,"T",IF(Ranking!$H30&gt;Ranking!$H23,"W","L")))</x:f>
        <x:v>L</x:v>
      </x:c>
      <x:c r="T30" s="50" t="str">
        <x:f>IF(30=24,"—",IF(Ranking!$H30=Ranking!$H24,"T",IF(Ranking!$H30&gt;Ranking!$H24,"W","L")))</x:f>
        <x:v>L</x:v>
      </x:c>
      <x:c r="U30" s="50" t="str">
        <x:f>IF(30=25,"—",IF(Ranking!$H30=Ranking!$H25,"T",IF(Ranking!$H30&gt;Ranking!$H25,"W","L")))</x:f>
        <x:v>L</x:v>
      </x:c>
      <x:c r="V30" s="50" t="str">
        <x:f>IF(30=26,"—",IF(Ranking!$H30=Ranking!$H26,"T",IF(Ranking!$H30&gt;Ranking!$H26,"W","L")))</x:f>
        <x:v>L</x:v>
      </x:c>
      <x:c r="W30" s="50" t="str">
        <x:f>IF(30=27,"—",IF(Ranking!$H30=Ranking!$H27,"T",IF(Ranking!$H30&gt;Ranking!$H27,"W","L")))</x:f>
        <x:v>L</x:v>
      </x:c>
      <x:c r="X30" s="50" t="str">
        <x:f>IF(30=28,"—",IF(Ranking!$H30=Ranking!$H28,"T",IF(Ranking!$H30&gt;Ranking!$H28,"W","L")))</x:f>
        <x:v>L</x:v>
      </x:c>
      <x:c r="Y30" s="50" t="str">
        <x:f>IF(30=29,"—",IF(Ranking!$H30=Ranking!$H29,"T",IF(Ranking!$H30&gt;Ranking!$H29,"W","L")))</x:f>
        <x:v>L</x:v>
      </x:c>
      <x:c r="Z30" s="50" t="str">
        <x:f>IF(30=30,"—",IF(Ranking!$H30=Ranking!$H30,"T",IF(Ranking!$H30&gt;Ranking!$H30,"W","L")))</x:f>
        <x:v>—</x:v>
      </x:c>
    </x:row>
  </x:sheetData>
  <x:mergeCells>
    <x:mergeCell ref="A1:Z1"/>
    <x:mergeCell ref="A2:Z3"/>
  </x:mergeCells>
  <x:conditionalFormatting sqref="B6:Z30">
    <x:cfRule type="expression" dxfId="0" priority="1">
      <x:formula>B6="W"</x:formula>
    </x:cfRule>
    <x:cfRule type="expression" dxfId="1" priority="2">
      <x:formula>B6="T"</x:formula>
    </x:cfRule>
  </x:conditionalFormatting>
  <x:pageMargins left="0.7" right="0.7" top="0.75" bottom="0.75" header="0.3" footer="0.3"/>
</x:worksheet>
</file>

<file path=xl/worksheets/sheet9.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29" hidden="0" customWidth="1"/>
    <x:col min="2" max="2" width="36" hidden="0" customWidth="1"/>
    <x:col min="3" max="3" width="13" hidden="0" customWidth="1"/>
    <x:col min="4" max="4" width="13" hidden="0" customWidth="1"/>
    <x:col min="5" max="5" width="13" hidden="0" customWidth="1"/>
    <x:col min="6" max="6" width="13" hidden="0" customWidth="1"/>
    <x:col min="7" max="7" width="14" hidden="0" customWidth="1"/>
    <x:col min="8" max="8" width="14" hidden="0" customWidth="1"/>
    <x:col min="9" max="9" width="14" hidden="0" customWidth="1"/>
    <x:col min="10" max="10" width="14" hidden="0" customWidth="1"/>
    <x:col min="11" max="11" width="14" hidden="0" customWidth="1"/>
  </x:cols>
  <x:sheetData>
    <x:row r="1" ht="32" customHeight="1">
      <x:c r="A1" s="3" t="str">
        <x:v>SENSITIVITY | FIVE PUBLISHED WEIGHT SCENARIOS</x:v>
      </x:c>
      <x:c r="B1" s="3"/>
      <x:c r="C1" s="3"/>
      <x:c r="D1" s="3"/>
      <x:c r="E1" s="3"/>
      <x:c r="F1" s="3"/>
      <x:c r="G1" s="3"/>
      <x:c r="H1" s="3"/>
      <x:c r="I1" s="3"/>
      <x:c r="J1" s="3"/>
      <x:c r="K1" s="3"/>
    </x:row>
    <x:row r="2" ht="24" customHeight="1">
      <x:c r="A2" s="8" t="str">
        <x:v>These scenarios test the weights, not the truth of the editorial ratings. A different defensible assessment of the underlying evidence can change the winner. Equal-criteria arithmetic is rounded only at eight decimals for stable comparisons.</x:v>
      </x:c>
      <x:c r="B2" s="8"/>
      <x:c r="C2" s="8"/>
      <x:c r="D2" s="8"/>
      <x:c r="E2" s="8"/>
      <x:c r="F2" s="8"/>
      <x:c r="G2" s="8"/>
      <x:c r="H2" s="8"/>
      <x:c r="I2" s="8"/>
      <x:c r="J2" s="8"/>
      <x:c r="K2" s="8"/>
    </x:row>
    <x:row r="3" ht="24" customHeight="1">
      <x:c r="A3" s="8"/>
      <x:c r="B3" s="8"/>
      <x:c r="C3" s="8"/>
      <x:c r="D3" s="8"/>
      <x:c r="E3" s="8"/>
      <x:c r="F3" s="8"/>
      <x:c r="G3" s="8"/>
      <x:c r="H3" s="8"/>
      <x:c r="I3" s="8"/>
      <x:c r="J3" s="8"/>
      <x:c r="K3" s="8"/>
    </x:row>
    <x:row r="5" ht="34" customHeight="1">
      <x:c r="A5" s="12" t="str">
        <x:v>Scenario</x:v>
      </x:c>
      <x:c r="B5" s="12" t="str">
        <x:v>Company</x:v>
      </x:c>
      <x:c r="C5" s="12" t="str">
        <x:v>Score</x:v>
      </x:c>
      <x:c r="D5" s="12" t="str">
        <x:v>Scenario rank</x:v>
      </x:c>
      <x:c r="E5" s="12" t="str">
        <x:v>Baseline rank</x:v>
      </x:c>
      <x:c r="F5" s="12" t="str">
        <x:v>Rank change</x:v>
      </x:c>
      <x:c r="G5" s="12" t="str">
        <x:v>Outcome rating</x:v>
      </x:c>
      <x:c r="H5" s="12" t="str">
        <x:v>Feedback rating</x:v>
      </x:c>
      <x:c r="I5" s="12" t="str">
        <x:v>Value rating</x:v>
      </x:c>
      <x:c r="J5" s="12" t="str">
        <x:v>Confidence key</x:v>
      </x:c>
      <x:c r="K5" s="12" t="str">
        <x:v>Alphabetical key</x:v>
      </x:c>
    </x:row>
    <x:row r="6" ht="48" customHeight="1">
      <x:c r="A6" s="15" t="str">
        <x:v>Baseline</x:v>
      </x:c>
      <x:c r="B6" s="15" t="str">
        <x:v>Let’s Eat, Grandma</x:v>
      </x:c>
      <x:c r="C6" s="34" t="n">
        <x:f>ROUND(SUMPRODUCT('Score Inputs'!C6:K6,Rubric!$C$27:$K$27)/Rubric!$B$8,8)</x:f>
        <x:v>80.25</x:v>
      </x:c>
      <x:c r="D6" s="36" t="n">
        <x:f>1+COUNTIF($C$6:$C$30,"&gt;"&amp;C6)+COUNTIFS($C$6:$C$30,C6,$G$6:$G$30,"&gt;"&amp;G6)+COUNTIFS($C$6:$C$30,C6,$G$6:$G$30,G6,$H$6:$H$30,"&gt;"&amp;H6)+COUNTIFS($C$6:$C$30,C6,$G$6:$G$30,G6,$H$6:$H$30,H6,$I$6:$I$30,"&gt;"&amp;I6)+COUNTIFS($C$6:$C$30,C6,$G$6:$G$30,G6,$H$6:$H$30,H6,$I$6:$I$30,I6,$J$6:$J$30,"&gt;"&amp;J6)+COUNTIFS($C$6:$C$30,C6,$G$6:$G$30,G6,$H$6:$H$30,H6,$I$6:$I$30,I6,$J$6:$J$30,J6,$K$6:$K$30,"&lt;"&amp;K6)</x:f>
        <x:v>13</x:v>
      </x:c>
      <x:c r="E6" s="36" t="n">
        <x:f>'Score Inputs'!P6</x:f>
        <x:v>13</x:v>
      </x:c>
      <x:c r="F6" s="36" t="n">
        <x:f>E6-D6</x:f>
        <x:v>0</x:v>
      </x:c>
      <x:c r="G6" s="15" t="n">
        <x:f>'Score Inputs'!D6</x:f>
        <x:v>8</x:v>
      </x:c>
      <x:c r="H6" s="15" t="n">
        <x:f>'Score Inputs'!C6</x:f>
        <x:v>8.5</x:v>
      </x:c>
      <x:c r="I6" s="15" t="n">
        <x:f>'Score Inputs'!E6</x:f>
        <x:v>8.5</x:v>
      </x:c>
      <x:c r="J6" s="15" t="n">
        <x:f>'Score Inputs'!N6</x:f>
        <x:v>2</x:v>
      </x:c>
      <x:c r="K6" s="15" t="n">
        <x:f>'Score Inputs'!O6</x:f>
        <x:v>14</x:v>
      </x:c>
    </x:row>
    <x:row r="7" ht="48" customHeight="1">
      <x:c r="A7" s="15" t="str">
        <x:v>Baseline</x:v>
      </x:c>
      <x:c r="B7" s="15" t="str">
        <x:v>Find My Profession</x:v>
      </x:c>
      <x:c r="C7" s="34" t="n">
        <x:f>ROUND(SUMPRODUCT('Score Inputs'!C7:K7,Rubric!$C$27:$K$27)/Rubric!$B$8,8)</x:f>
        <x:v>80.75</x:v>
      </x:c>
      <x:c r="D7" s="36" t="n">
        <x:f>1+COUNTIF($C$6:$C$30,"&gt;"&amp;C7)+COUNTIFS($C$6:$C$30,C7,$G$6:$G$30,"&gt;"&amp;G7)+COUNTIFS($C$6:$C$30,C7,$G$6:$G$30,G7,$H$6:$H$30,"&gt;"&amp;H7)+COUNTIFS($C$6:$C$30,C7,$G$6:$G$30,G7,$H$6:$H$30,H7,$I$6:$I$30,"&gt;"&amp;I7)+COUNTIFS($C$6:$C$30,C7,$G$6:$G$30,G7,$H$6:$H$30,H7,$I$6:$I$30,I7,$J$6:$J$30,"&gt;"&amp;J7)+COUNTIFS($C$6:$C$30,C7,$G$6:$G$30,G7,$H$6:$H$30,H7,$I$6:$I$30,I7,$J$6:$J$30,J7,$K$6:$K$30,"&lt;"&amp;K7)</x:f>
        <x:v>8</x:v>
      </x:c>
      <x:c r="E7" s="36" t="n">
        <x:f>'Score Inputs'!P7</x:f>
        <x:v>8</x:v>
      </x:c>
      <x:c r="F7" s="36" t="n">
        <x:f>E7-D7</x:f>
        <x:v>0</x:v>
      </x:c>
      <x:c r="G7" s="15" t="n">
        <x:f>'Score Inputs'!D7</x:f>
        <x:v>7.5</x:v>
      </x:c>
      <x:c r="H7" s="15" t="n">
        <x:f>'Score Inputs'!C7</x:f>
        <x:v>8.5</x:v>
      </x:c>
      <x:c r="I7" s="15" t="n">
        <x:f>'Score Inputs'!E7</x:f>
        <x:v>8</x:v>
      </x:c>
      <x:c r="J7" s="15" t="n">
        <x:f>'Score Inputs'!N7</x:f>
        <x:v>2</x:v>
      </x:c>
      <x:c r="K7" s="15" t="n">
        <x:f>'Score Inputs'!O7</x:f>
        <x:v>9</x:v>
      </x:c>
    </x:row>
    <x:row r="8" ht="48" customHeight="1">
      <x:c r="A8" s="15" t="str">
        <x:v>Baseline</x:v>
      </x:c>
      <x:c r="B8" s="15" t="str">
        <x:v>TopStack Resume</x:v>
      </x:c>
      <x:c r="C8" s="34" t="n">
        <x:f>ROUND(SUMPRODUCT('Score Inputs'!C8:K8,Rubric!$C$27:$K$27)/Rubric!$B$8,8)</x:f>
        <x:v>76.75</x:v>
      </x:c>
      <x:c r="D8" s="36" t="n">
        <x:f>1+COUNTIF($C$6:$C$30,"&gt;"&amp;C8)+COUNTIFS($C$6:$C$30,C8,$G$6:$G$30,"&gt;"&amp;G8)+COUNTIFS($C$6:$C$30,C8,$G$6:$G$30,G8,$H$6:$H$30,"&gt;"&amp;H8)+COUNTIFS($C$6:$C$30,C8,$G$6:$G$30,G8,$H$6:$H$30,H8,$I$6:$I$30,"&gt;"&amp;I8)+COUNTIFS($C$6:$C$30,C8,$G$6:$G$30,G8,$H$6:$H$30,H8,$I$6:$I$30,I8,$J$6:$J$30,"&gt;"&amp;J8)+COUNTIFS($C$6:$C$30,C8,$G$6:$G$30,G8,$H$6:$H$30,H8,$I$6:$I$30,I8,$J$6:$J$30,J8,$K$6:$K$30,"&lt;"&amp;K8)</x:f>
        <x:v>18</x:v>
      </x:c>
      <x:c r="E8" s="36" t="n">
        <x:f>'Score Inputs'!P8</x:f>
        <x:v>18</x:v>
      </x:c>
      <x:c r="F8" s="36" t="n">
        <x:f>E8-D8</x:f>
        <x:v>0</x:v>
      </x:c>
      <x:c r="G8" s="15" t="n">
        <x:f>'Score Inputs'!D8</x:f>
        <x:v>7</x:v>
      </x:c>
      <x:c r="H8" s="15" t="n">
        <x:f>'Score Inputs'!C8</x:f>
        <x:v>8.5</x:v>
      </x:c>
      <x:c r="I8" s="15" t="n">
        <x:f>'Score Inputs'!E8</x:f>
        <x:v>9</x:v>
      </x:c>
      <x:c r="J8" s="15" t="n">
        <x:f>'Score Inputs'!N8</x:f>
        <x:v>2</x:v>
      </x:c>
      <x:c r="K8" s="15" t="n">
        <x:f>'Score Inputs'!O8</x:f>
        <x:v>24</x:v>
      </x:c>
    </x:row>
    <x:row r="9" ht="48" customHeight="1">
      <x:c r="A9" s="15" t="str">
        <x:v>Baseline</x:v>
      </x:c>
      <x:c r="B9" s="15" t="str">
        <x:v>Resumeble</x:v>
      </x:c>
      <x:c r="C9" s="34" t="n">
        <x:f>ROUND(SUMPRODUCT('Score Inputs'!C9:K9,Rubric!$C$27:$K$27)/Rubric!$B$8,8)</x:f>
        <x:v>74.5</x:v>
      </x:c>
      <x:c r="D9" s="36" t="n">
        <x:f>1+COUNTIF($C$6:$C$30,"&gt;"&amp;C9)+COUNTIFS($C$6:$C$30,C9,$G$6:$G$30,"&gt;"&amp;G9)+COUNTIFS($C$6:$C$30,C9,$G$6:$G$30,G9,$H$6:$H$30,"&gt;"&amp;H9)+COUNTIFS($C$6:$C$30,C9,$G$6:$G$30,G9,$H$6:$H$30,H9,$I$6:$I$30,"&gt;"&amp;I9)+COUNTIFS($C$6:$C$30,C9,$G$6:$G$30,G9,$H$6:$H$30,H9,$I$6:$I$30,I9,$J$6:$J$30,"&gt;"&amp;J9)+COUNTIFS($C$6:$C$30,C9,$G$6:$G$30,G9,$H$6:$H$30,H9,$I$6:$I$30,I9,$J$6:$J$30,J9,$K$6:$K$30,"&lt;"&amp;K9)</x:f>
        <x:v>21</x:v>
      </x:c>
      <x:c r="E9" s="36" t="n">
        <x:f>'Score Inputs'!P9</x:f>
        <x:v>21</x:v>
      </x:c>
      <x:c r="F9" s="36" t="n">
        <x:f>E9-D9</x:f>
        <x:v>0</x:v>
      </x:c>
      <x:c r="G9" s="15" t="n">
        <x:f>'Score Inputs'!D9</x:f>
        <x:v>7</x:v>
      </x:c>
      <x:c r="H9" s="15" t="n">
        <x:f>'Score Inputs'!C9</x:f>
        <x:v>8</x:v>
      </x:c>
      <x:c r="I9" s="15" t="n">
        <x:f>'Score Inputs'!E9</x:f>
        <x:v>8.5</x:v>
      </x:c>
      <x:c r="J9" s="15" t="n">
        <x:f>'Score Inputs'!N9</x:f>
        <x:v>2</x:v>
      </x:c>
      <x:c r="K9" s="15" t="n">
        <x:f>'Score Inputs'!O9</x:f>
        <x:v>19</x:v>
      </x:c>
    </x:row>
    <x:row r="10" ht="48" customHeight="1">
      <x:c r="A10" s="15" t="str">
        <x:v>Baseline</x:v>
      </x:c>
      <x:c r="B10" s="15" t="str">
        <x:v>ResumeSpice</x:v>
      </x:c>
      <x:c r="C10" s="34" t="n">
        <x:f>ROUND(SUMPRODUCT('Score Inputs'!C10:K10,Rubric!$C$27:$K$27)/Rubric!$B$8,8)</x:f>
        <x:v>82</x:v>
      </x:c>
      <x:c r="D10" s="36" t="n">
        <x:f>1+COUNTIF($C$6:$C$30,"&gt;"&amp;C10)+COUNTIFS($C$6:$C$30,C10,$G$6:$G$30,"&gt;"&amp;G10)+COUNTIFS($C$6:$C$30,C10,$G$6:$G$30,G10,$H$6:$H$30,"&gt;"&amp;H10)+COUNTIFS($C$6:$C$30,C10,$G$6:$G$30,G10,$H$6:$H$30,H10,$I$6:$I$30,"&gt;"&amp;I10)+COUNTIFS($C$6:$C$30,C10,$G$6:$G$30,G10,$H$6:$H$30,H10,$I$6:$I$30,I10,$J$6:$J$30,"&gt;"&amp;J10)+COUNTIFS($C$6:$C$30,C10,$G$6:$G$30,G10,$H$6:$H$30,H10,$I$6:$I$30,I10,$J$6:$J$30,J10,$K$6:$K$30,"&lt;"&amp;K10)</x:f>
        <x:v>7</x:v>
      </x:c>
      <x:c r="E10" s="36" t="n">
        <x:f>'Score Inputs'!P10</x:f>
        <x:v>7</x:v>
      </x:c>
      <x:c r="F10" s="36" t="n">
        <x:f>E10-D10</x:f>
        <x:v>0</x:v>
      </x:c>
      <x:c r="G10" s="15" t="n">
        <x:f>'Score Inputs'!D10</x:f>
        <x:v>8</x:v>
      </x:c>
      <x:c r="H10" s="15" t="n">
        <x:f>'Score Inputs'!C10</x:f>
        <x:v>9</x:v>
      </x:c>
      <x:c r="I10" s="15" t="n">
        <x:f>'Score Inputs'!E10</x:f>
        <x:v>8</x:v>
      </x:c>
      <x:c r="J10" s="15" t="n">
        <x:f>'Score Inputs'!N10</x:f>
        <x:v>2</x:v>
      </x:c>
      <x:c r="K10" s="15" t="n">
        <x:f>'Score Inputs'!O10</x:f>
        <x:v>18</x:v>
      </x:c>
    </x:row>
    <x:row r="11" ht="48" customHeight="1">
      <x:c r="A11" s="15" t="str">
        <x:v>Baseline</x:v>
      </x:c>
      <x:c r="B11" s="15" t="str">
        <x:v>Great Resumes Fast</x:v>
      </x:c>
      <x:c r="C11" s="34" t="n">
        <x:f>ROUND(SUMPRODUCT('Score Inputs'!C11:K11,Rubric!$C$27:$K$27)/Rubric!$B$8,8)</x:f>
        <x:v>80.5</x:v>
      </x:c>
      <x:c r="D11" s="36" t="n">
        <x:f>1+COUNTIF($C$6:$C$30,"&gt;"&amp;C11)+COUNTIFS($C$6:$C$30,C11,$G$6:$G$30,"&gt;"&amp;G11)+COUNTIFS($C$6:$C$30,C11,$G$6:$G$30,G11,$H$6:$H$30,"&gt;"&amp;H11)+COUNTIFS($C$6:$C$30,C11,$G$6:$G$30,G11,$H$6:$H$30,H11,$I$6:$I$30,"&gt;"&amp;I11)+COUNTIFS($C$6:$C$30,C11,$G$6:$G$30,G11,$H$6:$H$30,H11,$I$6:$I$30,I11,$J$6:$J$30,"&gt;"&amp;J11)+COUNTIFS($C$6:$C$30,C11,$G$6:$G$30,G11,$H$6:$H$30,H11,$I$6:$I$30,I11,$J$6:$J$30,J11,$K$6:$K$30,"&lt;"&amp;K11)</x:f>
        <x:v>11</x:v>
      </x:c>
      <x:c r="E11" s="36" t="n">
        <x:f>'Score Inputs'!P11</x:f>
        <x:v>11</x:v>
      </x:c>
      <x:c r="F11" s="36" t="n">
        <x:f>E11-D11</x:f>
        <x:v>0</x:v>
      </x:c>
      <x:c r="G11" s="15" t="n">
        <x:f>'Score Inputs'!D11</x:f>
        <x:v>7.5</x:v>
      </x:c>
      <x:c r="H11" s="15" t="n">
        <x:f>'Score Inputs'!C11</x:f>
        <x:v>8</x:v>
      </x:c>
      <x:c r="I11" s="15" t="n">
        <x:f>'Score Inputs'!E11</x:f>
        <x:v>8</x:v>
      </x:c>
      <x:c r="J11" s="15" t="n">
        <x:f>'Score Inputs'!N11</x:f>
        <x:v>2</x:v>
      </x:c>
      <x:c r="K11" s="15" t="n">
        <x:f>'Score Inputs'!O11</x:f>
        <x:v>10</x:v>
      </x:c>
    </x:row>
    <x:row r="12" ht="48" customHeight="1">
      <x:c r="A12" s="15" t="str">
        <x:v>Baseline</x:v>
      </x:c>
      <x:c r="B12" s="15" t="str">
        <x:v>TopResume</x:v>
      </x:c>
      <x:c r="C12" s="34" t="n">
        <x:f>ROUND(SUMPRODUCT('Score Inputs'!C12:K12,Rubric!$C$27:$K$27)/Rubric!$B$8,8)</x:f>
        <x:v>62.75</x:v>
      </x:c>
      <x:c r="D12" s="36" t="n">
        <x:f>1+COUNTIF($C$6:$C$30,"&gt;"&amp;C12)+COUNTIFS($C$6:$C$30,C12,$G$6:$G$30,"&gt;"&amp;G12)+COUNTIFS($C$6:$C$30,C12,$G$6:$G$30,G12,$H$6:$H$30,"&gt;"&amp;H12)+COUNTIFS($C$6:$C$30,C12,$G$6:$G$30,G12,$H$6:$H$30,H12,$I$6:$I$30,"&gt;"&amp;I12)+COUNTIFS($C$6:$C$30,C12,$G$6:$G$30,G12,$H$6:$H$30,H12,$I$6:$I$30,I12,$J$6:$J$30,"&gt;"&amp;J12)+COUNTIFS($C$6:$C$30,C12,$G$6:$G$30,G12,$H$6:$H$30,H12,$I$6:$I$30,I12,$J$6:$J$30,J12,$K$6:$K$30,"&lt;"&amp;K12)</x:f>
        <x:v>24</x:v>
      </x:c>
      <x:c r="E12" s="36" t="n">
        <x:f>'Score Inputs'!P12</x:f>
        <x:v>24</x:v>
      </x:c>
      <x:c r="F12" s="36" t="n">
        <x:f>E12-D12</x:f>
        <x:v>0</x:v>
      </x:c>
      <x:c r="G12" s="15" t="n">
        <x:f>'Score Inputs'!D12</x:f>
        <x:v>7</x:v>
      </x:c>
      <x:c r="H12" s="15" t="n">
        <x:f>'Score Inputs'!C12</x:f>
        <x:v>6.5</x:v>
      </x:c>
      <x:c r="I12" s="15" t="n">
        <x:f>'Score Inputs'!E12</x:f>
        <x:v>6.5</x:v>
      </x:c>
      <x:c r="J12" s="15" t="n">
        <x:f>'Score Inputs'!N12</x:f>
        <x:v>2</x:v>
      </x:c>
      <x:c r="K12" s="15" t="n">
        <x:f>'Score Inputs'!O12</x:f>
        <x:v>23</x:v>
      </x:c>
    </x:row>
    <x:row r="13" ht="48" customHeight="1">
      <x:c r="A13" s="15" t="str">
        <x:v>Baseline</x:v>
      </x:c>
      <x:c r="B13" s="15" t="str">
        <x:v>The Resume Place</x:v>
      </x:c>
      <x:c r="C13" s="34" t="n">
        <x:f>ROUND(SUMPRODUCT('Score Inputs'!C13:K13,Rubric!$C$27:$K$27)/Rubric!$B$8,8)</x:f>
        <x:v>76.75</x:v>
      </x:c>
      <x:c r="D13" s="36" t="n">
        <x:f>1+COUNTIF($C$6:$C$30,"&gt;"&amp;C13)+COUNTIFS($C$6:$C$30,C13,$G$6:$G$30,"&gt;"&amp;G13)+COUNTIFS($C$6:$C$30,C13,$G$6:$G$30,G13,$H$6:$H$30,"&gt;"&amp;H13)+COUNTIFS($C$6:$C$30,C13,$G$6:$G$30,G13,$H$6:$H$30,H13,$I$6:$I$30,"&gt;"&amp;I13)+COUNTIFS($C$6:$C$30,C13,$G$6:$G$30,G13,$H$6:$H$30,H13,$I$6:$I$30,I13,$J$6:$J$30,"&gt;"&amp;J13)+COUNTIFS($C$6:$C$30,C13,$G$6:$G$30,G13,$H$6:$H$30,H13,$I$6:$I$30,I13,$J$6:$J$30,J13,$K$6:$K$30,"&lt;"&amp;K13)</x:f>
        <x:v>19</x:v>
      </x:c>
      <x:c r="E13" s="36" t="n">
        <x:f>'Score Inputs'!P13</x:f>
        <x:v>19</x:v>
      </x:c>
      <x:c r="F13" s="36" t="n">
        <x:f>E13-D13</x:f>
        <x:v>0</x:v>
      </x:c>
      <x:c r="G13" s="15" t="n">
        <x:f>'Score Inputs'!D13</x:f>
        <x:v>7</x:v>
      </x:c>
      <x:c r="H13" s="15" t="n">
        <x:f>'Score Inputs'!C13</x:f>
        <x:v>7</x:v>
      </x:c>
      <x:c r="I13" s="15" t="n">
        <x:f>'Score Inputs'!E13</x:f>
        <x:v>7</x:v>
      </x:c>
      <x:c r="J13" s="15" t="n">
        <x:f>'Score Inputs'!N13</x:f>
        <x:v>1</x:v>
      </x:c>
      <x:c r="K13" s="15" t="n">
        <x:f>'Score Inputs'!O13</x:f>
        <x:v>21</x:v>
      </x:c>
    </x:row>
    <x:row r="14" ht="48" customHeight="1">
      <x:c r="A14" s="15" t="str">
        <x:v>Baseline</x:v>
      </x:c>
      <x:c r="B14" s="15" t="str">
        <x:v>Ivy League Résumés</x:v>
      </x:c>
      <x:c r="C14" s="34" t="n">
        <x:f>ROUND(SUMPRODUCT('Score Inputs'!C14:K14,Rubric!$C$27:$K$27)/Rubric!$B$8,8)</x:f>
        <x:v>88.25</x:v>
      </x:c>
      <x:c r="D14" s="36" t="n">
        <x:f>1+COUNTIF($C$6:$C$30,"&gt;"&amp;C14)+COUNTIFS($C$6:$C$30,C14,$G$6:$G$30,"&gt;"&amp;G14)+COUNTIFS($C$6:$C$30,C14,$G$6:$G$30,G14,$H$6:$H$30,"&gt;"&amp;H14)+COUNTIFS($C$6:$C$30,C14,$G$6:$G$30,G14,$H$6:$H$30,H14,$I$6:$I$30,"&gt;"&amp;I14)+COUNTIFS($C$6:$C$30,C14,$G$6:$G$30,G14,$H$6:$H$30,H14,$I$6:$I$30,I14,$J$6:$J$30,"&gt;"&amp;J14)+COUNTIFS($C$6:$C$30,C14,$G$6:$G$30,G14,$H$6:$H$30,H14,$I$6:$I$30,I14,$J$6:$J$30,J14,$K$6:$K$30,"&lt;"&amp;K14)</x:f>
        <x:v>1</x:v>
      </x:c>
      <x:c r="E14" s="36" t="n">
        <x:f>'Score Inputs'!P14</x:f>
        <x:v>1</x:v>
      </x:c>
      <x:c r="F14" s="36" t="n">
        <x:f>E14-D14</x:f>
        <x:v>0</x:v>
      </x:c>
      <x:c r="G14" s="15" t="n">
        <x:f>'Score Inputs'!D14</x:f>
        <x:v>8.5</x:v>
      </x:c>
      <x:c r="H14" s="15" t="n">
        <x:f>'Score Inputs'!C14</x:f>
        <x:v>9</x:v>
      </x:c>
      <x:c r="I14" s="15" t="n">
        <x:f>'Score Inputs'!E14</x:f>
        <x:v>9</x:v>
      </x:c>
      <x:c r="J14" s="15" t="n">
        <x:f>'Score Inputs'!N14</x:f>
        <x:v>2</x:v>
      </x:c>
      <x:c r="K14" s="15" t="n">
        <x:f>'Score Inputs'!O14</x:f>
        <x:v>11</x:v>
      </x:c>
    </x:row>
    <x:row r="15" ht="48" customHeight="1">
      <x:c r="A15" s="15" t="str">
        <x:v>Baseline</x:v>
      </x:c>
      <x:c r="B15" s="15" t="str">
        <x:v>JobStars USA</x:v>
      </x:c>
      <x:c r="C15" s="34" t="n">
        <x:f>ROUND(SUMPRODUCT('Score Inputs'!C15:K15,Rubric!$C$27:$K$27)/Rubric!$B$8,8)</x:f>
        <x:v>80.5</x:v>
      </x:c>
      <x:c r="D15" s="36" t="n">
        <x:f>1+COUNTIF($C$6:$C$30,"&gt;"&amp;C15)+COUNTIFS($C$6:$C$30,C15,$G$6:$G$30,"&gt;"&amp;G15)+COUNTIFS($C$6:$C$30,C15,$G$6:$G$30,G15,$H$6:$H$30,"&gt;"&amp;H15)+COUNTIFS($C$6:$C$30,C15,$G$6:$G$30,G15,$H$6:$H$30,H15,$I$6:$I$30,"&gt;"&amp;I15)+COUNTIFS($C$6:$C$30,C15,$G$6:$G$30,G15,$H$6:$H$30,H15,$I$6:$I$30,I15,$J$6:$J$30,"&gt;"&amp;J15)+COUNTIFS($C$6:$C$30,C15,$G$6:$G$30,G15,$H$6:$H$30,H15,$I$6:$I$30,I15,$J$6:$J$30,J15,$K$6:$K$30,"&lt;"&amp;K15)</x:f>
        <x:v>10</x:v>
      </x:c>
      <x:c r="E15" s="36" t="n">
        <x:f>'Score Inputs'!P15</x:f>
        <x:v>10</x:v>
      </x:c>
      <x:c r="F15" s="36" t="n">
        <x:f>E15-D15</x:f>
        <x:v>0</x:v>
      </x:c>
      <x:c r="G15" s="15" t="n">
        <x:f>'Score Inputs'!D15</x:f>
        <x:v>7.5</x:v>
      </x:c>
      <x:c r="H15" s="15" t="n">
        <x:f>'Score Inputs'!C15</x:f>
        <x:v>8.5</x:v>
      </x:c>
      <x:c r="I15" s="15" t="n">
        <x:f>'Score Inputs'!E15</x:f>
        <x:v>8</x:v>
      </x:c>
      <x:c r="J15" s="15" t="n">
        <x:f>'Score Inputs'!N15</x:f>
        <x:v>2</x:v>
      </x:c>
      <x:c r="K15" s="15" t="n">
        <x:f>'Score Inputs'!O15</x:f>
        <x:v>12</x:v>
      </x:c>
    </x:row>
    <x:row r="16" ht="48" customHeight="1">
      <x:c r="A16" s="15" t="str">
        <x:v>Baseline</x:v>
      </x:c>
      <x:c r="B16" s="15" t="str">
        <x:v>Resume Professional Writers</x:v>
      </x:c>
      <x:c r="C16" s="34" t="n">
        <x:f>ROUND(SUMPRODUCT('Score Inputs'!C16:K16,Rubric!$C$27:$K$27)/Rubric!$B$8,8)</x:f>
        <x:v>65.75</x:v>
      </x:c>
      <x:c r="D16" s="36" t="n">
        <x:f>1+COUNTIF($C$6:$C$30,"&gt;"&amp;C16)+COUNTIFS($C$6:$C$30,C16,$G$6:$G$30,"&gt;"&amp;G16)+COUNTIFS($C$6:$C$30,C16,$G$6:$G$30,G16,$H$6:$H$30,"&gt;"&amp;H16)+COUNTIFS($C$6:$C$30,C16,$G$6:$G$30,G16,$H$6:$H$30,H16,$I$6:$I$30,"&gt;"&amp;I16)+COUNTIFS($C$6:$C$30,C16,$G$6:$G$30,G16,$H$6:$H$30,H16,$I$6:$I$30,I16,$J$6:$J$30,"&gt;"&amp;J16)+COUNTIFS($C$6:$C$30,C16,$G$6:$G$30,G16,$H$6:$H$30,H16,$I$6:$I$30,I16,$J$6:$J$30,J16,$K$6:$K$30,"&lt;"&amp;K16)</x:f>
        <x:v>23</x:v>
      </x:c>
      <x:c r="E16" s="36" t="n">
        <x:f>'Score Inputs'!P16</x:f>
        <x:v>23</x:v>
      </x:c>
      <x:c r="F16" s="36" t="n">
        <x:f>E16-D16</x:f>
        <x:v>0</x:v>
      </x:c>
      <x:c r="G16" s="15" t="n">
        <x:f>'Score Inputs'!D16</x:f>
        <x:v>6</x:v>
      </x:c>
      <x:c r="H16" s="15" t="n">
        <x:f>'Score Inputs'!C16</x:f>
        <x:v>6.5</x:v>
      </x:c>
      <x:c r="I16" s="15" t="n">
        <x:f>'Score Inputs'!E16</x:f>
        <x:v>7.5</x:v>
      </x:c>
      <x:c r="J16" s="15" t="n">
        <x:f>'Score Inputs'!N16</x:f>
        <x:v>2</x:v>
      </x:c>
      <x:c r="K16" s="15" t="n">
        <x:f>'Score Inputs'!O16</x:f>
        <x:v>15</x:v>
      </x:c>
    </x:row>
    <x:row r="17" ht="48" customHeight="1">
      <x:c r="A17" s="15" t="str">
        <x:v>Baseline</x:v>
      </x:c>
      <x:c r="B17" s="15" t="str">
        <x:v>iCareerSolutions</x:v>
      </x:c>
      <x:c r="C17" s="34" t="n">
        <x:f>ROUND(SUMPRODUCT('Score Inputs'!C17:K17,Rubric!$C$27:$K$27)/Rubric!$B$8,8)</x:f>
        <x:v>80.5</x:v>
      </x:c>
      <x:c r="D17" s="36" t="n">
        <x:f>1+COUNTIF($C$6:$C$30,"&gt;"&amp;C17)+COUNTIFS($C$6:$C$30,C17,$G$6:$G$30,"&gt;"&amp;G17)+COUNTIFS($C$6:$C$30,C17,$G$6:$G$30,G17,$H$6:$H$30,"&gt;"&amp;H17)+COUNTIFS($C$6:$C$30,C17,$G$6:$G$30,G17,$H$6:$H$30,H17,$I$6:$I$30,"&gt;"&amp;I17)+COUNTIFS($C$6:$C$30,C17,$G$6:$G$30,G17,$H$6:$H$30,H17,$I$6:$I$30,I17,$J$6:$J$30,"&gt;"&amp;J17)+COUNTIFS($C$6:$C$30,C17,$G$6:$G$30,G17,$H$6:$H$30,H17,$I$6:$I$30,I17,$J$6:$J$30,J17,$K$6:$K$30,"&lt;"&amp;K17)</x:f>
        <x:v>12</x:v>
      </x:c>
      <x:c r="E17" s="36" t="n">
        <x:f>'Score Inputs'!P17</x:f>
        <x:v>12</x:v>
      </x:c>
      <x:c r="F17" s="36" t="n">
        <x:f>E17-D17</x:f>
        <x:v>0</x:v>
      </x:c>
      <x:c r="G17" s="15" t="n">
        <x:f>'Score Inputs'!D17</x:f>
        <x:v>7.5</x:v>
      </x:c>
      <x:c r="H17" s="15" t="n">
        <x:f>'Score Inputs'!C17</x:f>
        <x:v>8</x:v>
      </x:c>
      <x:c r="I17" s="15" t="n">
        <x:f>'Score Inputs'!E17</x:f>
        <x:v>8</x:v>
      </x:c>
      <x:c r="J17" s="15" t="n">
        <x:f>'Score Inputs'!N17</x:f>
        <x:v>2</x:v>
      </x:c>
      <x:c r="K17" s="15" t="n">
        <x:f>'Score Inputs'!O17</x:f>
        <x:v>25</x:v>
      </x:c>
    </x:row>
    <x:row r="18" ht="48" customHeight="1">
      <x:c r="A18" s="15" t="str">
        <x:v>Baseline</x:v>
      </x:c>
      <x:c r="B18" s="15" t="str">
        <x:v>Distinctive Career Services</x:v>
      </x:c>
      <x:c r="C18" s="34" t="n">
        <x:f>ROUND(SUMPRODUCT('Score Inputs'!C18:K18,Rubric!$C$27:$K$27)/Rubric!$B$8,8)</x:f>
        <x:v>82.75</x:v>
      </x:c>
      <x:c r="D18" s="36" t="n">
        <x:f>1+COUNTIF($C$6:$C$30,"&gt;"&amp;C18)+COUNTIFS($C$6:$C$30,C18,$G$6:$G$30,"&gt;"&amp;G18)+COUNTIFS($C$6:$C$30,C18,$G$6:$G$30,G18,$H$6:$H$30,"&gt;"&amp;H18)+COUNTIFS($C$6:$C$30,C18,$G$6:$G$30,G18,$H$6:$H$30,H18,$I$6:$I$30,"&gt;"&amp;I18)+COUNTIFS($C$6:$C$30,C18,$G$6:$G$30,G18,$H$6:$H$30,H18,$I$6:$I$30,I18,$J$6:$J$30,"&gt;"&amp;J18)+COUNTIFS($C$6:$C$30,C18,$G$6:$G$30,G18,$H$6:$H$30,H18,$I$6:$I$30,I18,$J$6:$J$30,J18,$K$6:$K$30,"&lt;"&amp;K18)</x:f>
        <x:v>4</x:v>
      </x:c>
      <x:c r="E18" s="36" t="n">
        <x:f>'Score Inputs'!P18</x:f>
        <x:v>4</x:v>
      </x:c>
      <x:c r="F18" s="36" t="n">
        <x:f>E18-D18</x:f>
        <x:v>0</x:v>
      </x:c>
      <x:c r="G18" s="15" t="n">
        <x:f>'Score Inputs'!D18</x:f>
        <x:v>8</x:v>
      </x:c>
      <x:c r="H18" s="15" t="n">
        <x:f>'Score Inputs'!C18</x:f>
        <x:v>8</x:v>
      </x:c>
      <x:c r="I18" s="15" t="n">
        <x:f>'Score Inputs'!E18</x:f>
        <x:v>7.5</x:v>
      </x:c>
      <x:c r="J18" s="15" t="n">
        <x:f>'Score Inputs'!N18</x:f>
        <x:v>2</x:v>
      </x:c>
      <x:c r="K18" s="15" t="n">
        <x:f>'Score Inputs'!O18</x:f>
        <x:v>7</x:v>
      </x:c>
    </x:row>
    <x:row r="19" ht="48" customHeight="1">
      <x:c r="A19" s="15" t="str">
        <x:v>Baseline</x:v>
      </x:c>
      <x:c r="B19" s="15" t="str">
        <x:v>Resume Writing Group</x:v>
      </x:c>
      <x:c r="C19" s="34" t="n">
        <x:f>ROUND(SUMPRODUCT('Score Inputs'!C19:K19,Rubric!$C$27:$K$27)/Rubric!$B$8,8)</x:f>
        <x:v>59.75</x:v>
      </x:c>
      <x:c r="D19" s="36" t="n">
        <x:f>1+COUNTIF($C$6:$C$30,"&gt;"&amp;C19)+COUNTIFS($C$6:$C$30,C19,$G$6:$G$30,"&gt;"&amp;G19)+COUNTIFS($C$6:$C$30,C19,$G$6:$G$30,G19,$H$6:$H$30,"&gt;"&amp;H19)+COUNTIFS($C$6:$C$30,C19,$G$6:$G$30,G19,$H$6:$H$30,H19,$I$6:$I$30,"&gt;"&amp;I19)+COUNTIFS($C$6:$C$30,C19,$G$6:$G$30,G19,$H$6:$H$30,H19,$I$6:$I$30,I19,$J$6:$J$30,"&gt;"&amp;J19)+COUNTIFS($C$6:$C$30,C19,$G$6:$G$30,G19,$H$6:$H$30,H19,$I$6:$I$30,I19,$J$6:$J$30,J19,$K$6:$K$30,"&lt;"&amp;K19)</x:f>
        <x:v>25</x:v>
      </x:c>
      <x:c r="E19" s="36" t="n">
        <x:f>'Score Inputs'!P19</x:f>
        <x:v>25</x:v>
      </x:c>
      <x:c r="F19" s="36" t="n">
        <x:f>E19-D19</x:f>
        <x:v>0</x:v>
      </x:c>
      <x:c r="G19" s="15" t="n">
        <x:f>'Score Inputs'!D19</x:f>
        <x:v>5.5</x:v>
      </x:c>
      <x:c r="H19" s="15" t="n">
        <x:f>'Score Inputs'!C19</x:f>
        <x:v>6</x:v>
      </x:c>
      <x:c r="I19" s="15" t="n">
        <x:f>'Score Inputs'!E19</x:f>
        <x:v>6.5</x:v>
      </x:c>
      <x:c r="J19" s="15" t="n">
        <x:f>'Score Inputs'!N19</x:f>
        <x:v>2</x:v>
      </x:c>
      <x:c r="K19" s="15" t="n">
        <x:f>'Score Inputs'!O19</x:f>
        <x:v>17</x:v>
      </x:c>
    </x:row>
    <x:row r="20" ht="48" customHeight="1">
      <x:c r="A20" s="15" t="str">
        <x:v>Baseline</x:v>
      </x:c>
      <x:c r="B20" s="15" t="str">
        <x:v>An Expert Resume</x:v>
      </x:c>
      <x:c r="C20" s="34" t="n">
        <x:f>ROUND(SUMPRODUCT('Score Inputs'!C20:K20,Rubric!$C$27:$K$27)/Rubric!$B$8,8)</x:f>
        <x:v>84.25</x:v>
      </x:c>
      <x:c r="D20" s="36" t="n">
        <x:f>1+COUNTIF($C$6:$C$30,"&gt;"&amp;C20)+COUNTIFS($C$6:$C$30,C20,$G$6:$G$30,"&gt;"&amp;G20)+COUNTIFS($C$6:$C$30,C20,$G$6:$G$30,G20,$H$6:$H$30,"&gt;"&amp;H20)+COUNTIFS($C$6:$C$30,C20,$G$6:$G$30,G20,$H$6:$H$30,H20,$I$6:$I$30,"&gt;"&amp;I20)+COUNTIFS($C$6:$C$30,C20,$G$6:$G$30,G20,$H$6:$H$30,H20,$I$6:$I$30,I20,$J$6:$J$30,"&gt;"&amp;J20)+COUNTIFS($C$6:$C$30,C20,$G$6:$G$30,G20,$H$6:$H$30,H20,$I$6:$I$30,I20,$J$6:$J$30,J20,$K$6:$K$30,"&lt;"&amp;K20)</x:f>
        <x:v>3</x:v>
      </x:c>
      <x:c r="E20" s="36" t="n">
        <x:f>'Score Inputs'!P20</x:f>
        <x:v>3</x:v>
      </x:c>
      <x:c r="F20" s="36" t="n">
        <x:f>E20-D20</x:f>
        <x:v>0</x:v>
      </x:c>
      <x:c r="G20" s="15" t="n">
        <x:f>'Score Inputs'!D20</x:f>
        <x:v>8.5</x:v>
      </x:c>
      <x:c r="H20" s="15" t="n">
        <x:f>'Score Inputs'!C20</x:f>
        <x:v>8.5</x:v>
      </x:c>
      <x:c r="I20" s="15" t="n">
        <x:f>'Score Inputs'!E20</x:f>
        <x:v>7.5</x:v>
      </x:c>
      <x:c r="J20" s="15" t="n">
        <x:f>'Score Inputs'!N20</x:f>
        <x:v>2</x:v>
      </x:c>
      <x:c r="K20" s="15" t="n">
        <x:f>'Score Inputs'!O20</x:f>
        <x:v>1</x:v>
      </x:c>
    </x:row>
    <x:row r="21" ht="48" customHeight="1">
      <x:c r="A21" s="15" t="str">
        <x:v>Baseline</x:v>
      </x:c>
      <x:c r="B21" s="15" t="str">
        <x:v>Resume Target</x:v>
      </x:c>
      <x:c r="C21" s="34" t="n">
        <x:f>ROUND(SUMPRODUCT('Score Inputs'!C21:K21,Rubric!$C$27:$K$27)/Rubric!$B$8,8)</x:f>
        <x:v>74.5</x:v>
      </x:c>
      <x:c r="D21" s="36" t="n">
        <x:f>1+COUNTIF($C$6:$C$30,"&gt;"&amp;C21)+COUNTIFS($C$6:$C$30,C21,$G$6:$G$30,"&gt;"&amp;G21)+COUNTIFS($C$6:$C$30,C21,$G$6:$G$30,G21,$H$6:$H$30,"&gt;"&amp;H21)+COUNTIFS($C$6:$C$30,C21,$G$6:$G$30,G21,$H$6:$H$30,H21,$I$6:$I$30,"&gt;"&amp;I21)+COUNTIFS($C$6:$C$30,C21,$G$6:$G$30,G21,$H$6:$H$30,H21,$I$6:$I$30,I21,$J$6:$J$30,"&gt;"&amp;J21)+COUNTIFS($C$6:$C$30,C21,$G$6:$G$30,G21,$H$6:$H$30,H21,$I$6:$I$30,I21,$J$6:$J$30,J21,$K$6:$K$30,"&lt;"&amp;K21)</x:f>
        <x:v>22</x:v>
      </x:c>
      <x:c r="E21" s="36" t="n">
        <x:f>'Score Inputs'!P21</x:f>
        <x:v>22</x:v>
      </x:c>
      <x:c r="F21" s="36" t="n">
        <x:f>E21-D21</x:f>
        <x:v>0</x:v>
      </x:c>
      <x:c r="G21" s="15" t="n">
        <x:f>'Score Inputs'!D21</x:f>
        <x:v>6.5</x:v>
      </x:c>
      <x:c r="H21" s="15" t="n">
        <x:f>'Score Inputs'!C21</x:f>
        <x:v>7.5</x:v>
      </x:c>
      <x:c r="I21" s="15" t="n">
        <x:f>'Score Inputs'!E21</x:f>
        <x:v>8</x:v>
      </x:c>
      <x:c r="J21" s="15" t="n">
        <x:f>'Score Inputs'!N21</x:f>
        <x:v>1</x:v>
      </x:c>
      <x:c r="K21" s="15" t="n">
        <x:f>'Score Inputs'!O21</x:f>
        <x:v>16</x:v>
      </x:c>
    </x:row>
    <x:row r="22" ht="48" customHeight="1">
      <x:c r="A22" s="15" t="str">
        <x:v>Baseline</x:v>
      </x:c>
      <x:c r="B22" s="15" t="str">
        <x:v>The Writing Guru</x:v>
      </x:c>
      <x:c r="C22" s="34" t="n">
        <x:f>ROUND(SUMPRODUCT('Score Inputs'!C22:K22,Rubric!$C$27:$K$27)/Rubric!$B$8,8)</x:f>
        <x:v>82.5</x:v>
      </x:c>
      <x:c r="D22" s="36" t="n">
        <x:f>1+COUNTIF($C$6:$C$30,"&gt;"&amp;C22)+COUNTIFS($C$6:$C$30,C22,$G$6:$G$30,"&gt;"&amp;G22)+COUNTIFS($C$6:$C$30,C22,$G$6:$G$30,G22,$H$6:$H$30,"&gt;"&amp;H22)+COUNTIFS($C$6:$C$30,C22,$G$6:$G$30,G22,$H$6:$H$30,H22,$I$6:$I$30,"&gt;"&amp;I22)+COUNTIFS($C$6:$C$30,C22,$G$6:$G$30,G22,$H$6:$H$30,H22,$I$6:$I$30,I22,$J$6:$J$30,"&gt;"&amp;J22)+COUNTIFS($C$6:$C$30,C22,$G$6:$G$30,G22,$H$6:$H$30,H22,$I$6:$I$30,I22,$J$6:$J$30,J22,$K$6:$K$30,"&lt;"&amp;K22)</x:f>
        <x:v>5</x:v>
      </x:c>
      <x:c r="E22" s="36" t="n">
        <x:f>'Score Inputs'!P22</x:f>
        <x:v>5</x:v>
      </x:c>
      <x:c r="F22" s="36" t="n">
        <x:f>E22-D22</x:f>
        <x:v>0</x:v>
      </x:c>
      <x:c r="G22" s="15" t="n">
        <x:f>'Score Inputs'!D22</x:f>
        <x:v>8</x:v>
      </x:c>
      <x:c r="H22" s="15" t="n">
        <x:f>'Score Inputs'!C22</x:f>
        <x:v>8</x:v>
      </x:c>
      <x:c r="I22" s="15" t="n">
        <x:f>'Score Inputs'!E22</x:f>
        <x:v>7</x:v>
      </x:c>
      <x:c r="J22" s="15" t="n">
        <x:f>'Score Inputs'!N22</x:f>
        <x:v>2</x:v>
      </x:c>
      <x:c r="K22" s="15" t="n">
        <x:f>'Score Inputs'!O22</x:f>
        <x:v>22</x:v>
      </x:c>
    </x:row>
    <x:row r="23" ht="48" customHeight="1">
      <x:c r="A23" s="15" t="str">
        <x:v>Baseline</x:v>
      </x:c>
      <x:c r="B23" s="15" t="str">
        <x:v>Career Impressions</x:v>
      </x:c>
      <x:c r="C23" s="34" t="n">
        <x:f>ROUND(SUMPRODUCT('Score Inputs'!C23:K23,Rubric!$C$27:$K$27)/Rubric!$B$8,8)</x:f>
        <x:v>84.5</x:v>
      </x:c>
      <x:c r="D23" s="36" t="n">
        <x:f>1+COUNTIF($C$6:$C$30,"&gt;"&amp;C23)+COUNTIFS($C$6:$C$30,C23,$G$6:$G$30,"&gt;"&amp;G23)+COUNTIFS($C$6:$C$30,C23,$G$6:$G$30,G23,$H$6:$H$30,"&gt;"&amp;H23)+COUNTIFS($C$6:$C$30,C23,$G$6:$G$30,G23,$H$6:$H$30,H23,$I$6:$I$30,"&gt;"&amp;I23)+COUNTIFS($C$6:$C$30,C23,$G$6:$G$30,G23,$H$6:$H$30,H23,$I$6:$I$30,I23,$J$6:$J$30,"&gt;"&amp;J23)+COUNTIFS($C$6:$C$30,C23,$G$6:$G$30,G23,$H$6:$H$30,H23,$I$6:$I$30,I23,$J$6:$J$30,J23,$K$6:$K$30,"&lt;"&amp;K23)</x:f>
        <x:v>2</x:v>
      </x:c>
      <x:c r="E23" s="36" t="n">
        <x:f>'Score Inputs'!P23</x:f>
        <x:v>2</x:v>
      </x:c>
      <x:c r="F23" s="36" t="n">
        <x:f>E23-D23</x:f>
        <x:v>0</x:v>
      </x:c>
      <x:c r="G23" s="15" t="n">
        <x:f>'Score Inputs'!D23</x:f>
        <x:v>8</x:v>
      </x:c>
      <x:c r="H23" s="15" t="n">
        <x:f>'Score Inputs'!C23</x:f>
        <x:v>8.5</x:v>
      </x:c>
      <x:c r="I23" s="15" t="n">
        <x:f>'Score Inputs'!E23</x:f>
        <x:v>8</x:v>
      </x:c>
      <x:c r="J23" s="15" t="n">
        <x:f>'Score Inputs'!N23</x:f>
        <x:v>2</x:v>
      </x:c>
      <x:c r="K23" s="15" t="n">
        <x:f>'Score Inputs'!O23</x:f>
        <x:v>4</x:v>
      </x:c>
    </x:row>
    <x:row r="24" ht="48" customHeight="1">
      <x:c r="A24" s="15" t="str">
        <x:v>Baseline</x:v>
      </x:c>
      <x:c r="B24" s="15" t="str">
        <x:v>CareerProPlus / CareerPro Global</x:v>
      </x:c>
      <x:c r="C24" s="34" t="n">
        <x:f>ROUND(SUMPRODUCT('Score Inputs'!C24:K24,Rubric!$C$27:$K$27)/Rubric!$B$8,8)</x:f>
        <x:v>77.5</x:v>
      </x:c>
      <x:c r="D24" s="36" t="n">
        <x:f>1+COUNTIF($C$6:$C$30,"&gt;"&amp;C24)+COUNTIFS($C$6:$C$30,C24,$G$6:$G$30,"&gt;"&amp;G24)+COUNTIFS($C$6:$C$30,C24,$G$6:$G$30,G24,$H$6:$H$30,"&gt;"&amp;H24)+COUNTIFS($C$6:$C$30,C24,$G$6:$G$30,G24,$H$6:$H$30,H24,$I$6:$I$30,"&gt;"&amp;I24)+COUNTIFS($C$6:$C$30,C24,$G$6:$G$30,G24,$H$6:$H$30,H24,$I$6:$I$30,I24,$J$6:$J$30,"&gt;"&amp;J24)+COUNTIFS($C$6:$C$30,C24,$G$6:$G$30,G24,$H$6:$H$30,H24,$I$6:$I$30,I24,$J$6:$J$30,J24,$K$6:$K$30,"&lt;"&amp;K24)</x:f>
        <x:v>16</x:v>
      </x:c>
      <x:c r="E24" s="36" t="n">
        <x:f>'Score Inputs'!P24</x:f>
        <x:v>16</x:v>
      </x:c>
      <x:c r="F24" s="36" t="n">
        <x:f>E24-D24</x:f>
        <x:v>0</x:v>
      </x:c>
      <x:c r="G24" s="15" t="n">
        <x:f>'Score Inputs'!D24</x:f>
        <x:v>7</x:v>
      </x:c>
      <x:c r="H24" s="15" t="n">
        <x:f>'Score Inputs'!C24</x:f>
        <x:v>8</x:v>
      </x:c>
      <x:c r="I24" s="15" t="n">
        <x:f>'Score Inputs'!E24</x:f>
        <x:v>7</x:v>
      </x:c>
      <x:c r="J24" s="15" t="n">
        <x:f>'Score Inputs'!N24</x:f>
        <x:v>1</x:v>
      </x:c>
      <x:c r="K24" s="15" t="n">
        <x:f>'Score Inputs'!O24</x:f>
        <x:v>6</x:v>
      </x:c>
    </x:row>
    <x:row r="25" ht="48" customHeight="1">
      <x:c r="A25" s="15" t="str">
        <x:v>Baseline</x:v>
      </x:c>
      <x:c r="B25" s="15" t="str">
        <x:v>Career Steering</x:v>
      </x:c>
      <x:c r="C25" s="34" t="n">
        <x:f>ROUND(SUMPRODUCT('Score Inputs'!C25:K25,Rubric!$C$27:$K$27)/Rubric!$B$8,8)</x:f>
        <x:v>82.25</x:v>
      </x:c>
      <x:c r="D25" s="36" t="n">
        <x:f>1+COUNTIF($C$6:$C$30,"&gt;"&amp;C25)+COUNTIFS($C$6:$C$30,C25,$G$6:$G$30,"&gt;"&amp;G25)+COUNTIFS($C$6:$C$30,C25,$G$6:$G$30,G25,$H$6:$H$30,"&gt;"&amp;H25)+COUNTIFS($C$6:$C$30,C25,$G$6:$G$30,G25,$H$6:$H$30,H25,$I$6:$I$30,"&gt;"&amp;I25)+COUNTIFS($C$6:$C$30,C25,$G$6:$G$30,G25,$H$6:$H$30,H25,$I$6:$I$30,I25,$J$6:$J$30,"&gt;"&amp;J25)+COUNTIFS($C$6:$C$30,C25,$G$6:$G$30,G25,$H$6:$H$30,H25,$I$6:$I$30,I25,$J$6:$J$30,J25,$K$6:$K$30,"&lt;"&amp;K25)</x:f>
        <x:v>6</x:v>
      </x:c>
      <x:c r="E25" s="36" t="n">
        <x:f>'Score Inputs'!P25</x:f>
        <x:v>6</x:v>
      </x:c>
      <x:c r="F25" s="36" t="n">
        <x:f>E25-D25</x:f>
        <x:v>0</x:v>
      </x:c>
      <x:c r="G25" s="15" t="n">
        <x:f>'Score Inputs'!D25</x:f>
        <x:v>8</x:v>
      </x:c>
      <x:c r="H25" s="15" t="n">
        <x:f>'Score Inputs'!C25</x:f>
        <x:v>8.5</x:v>
      </x:c>
      <x:c r="I25" s="15" t="n">
        <x:f>'Score Inputs'!E25</x:f>
        <x:v>7.5</x:v>
      </x:c>
      <x:c r="J25" s="15" t="n">
        <x:f>'Score Inputs'!N25</x:f>
        <x:v>2</x:v>
      </x:c>
      <x:c r="K25" s="15" t="n">
        <x:f>'Score Inputs'!O25</x:f>
        <x:v>5</x:v>
      </x:c>
    </x:row>
    <x:row r="26" ht="48" customHeight="1">
      <x:c r="A26" s="15" t="str">
        <x:v>Baseline</x:v>
      </x:c>
      <x:c r="B26" s="15" t="str">
        <x:v>Blue Sky Resumes</x:v>
      </x:c>
      <x:c r="C26" s="34" t="n">
        <x:f>ROUND(SUMPRODUCT('Score Inputs'!C26:K26,Rubric!$C$27:$K$27)/Rubric!$B$8,8)</x:f>
        <x:v>79.25</x:v>
      </x:c>
      <x:c r="D26" s="36" t="n">
        <x:f>1+COUNTIF($C$6:$C$30,"&gt;"&amp;C26)+COUNTIFS($C$6:$C$30,C26,$G$6:$G$30,"&gt;"&amp;G26)+COUNTIFS($C$6:$C$30,C26,$G$6:$G$30,G26,$H$6:$H$30,"&gt;"&amp;H26)+COUNTIFS($C$6:$C$30,C26,$G$6:$G$30,G26,$H$6:$H$30,H26,$I$6:$I$30,"&gt;"&amp;I26)+COUNTIFS($C$6:$C$30,C26,$G$6:$G$30,G26,$H$6:$H$30,H26,$I$6:$I$30,I26,$J$6:$J$30,"&gt;"&amp;J26)+COUNTIFS($C$6:$C$30,C26,$G$6:$G$30,G26,$H$6:$H$30,H26,$I$6:$I$30,I26,$J$6:$J$30,J26,$K$6:$K$30,"&lt;"&amp;K26)</x:f>
        <x:v>15</x:v>
      </x:c>
      <x:c r="E26" s="36" t="n">
        <x:f>'Score Inputs'!P26</x:f>
        <x:v>15</x:v>
      </x:c>
      <x:c r="F26" s="36" t="n">
        <x:f>E26-D26</x:f>
        <x:v>0</x:v>
      </x:c>
      <x:c r="G26" s="15" t="n">
        <x:f>'Score Inputs'!D26</x:f>
        <x:v>7.5</x:v>
      </x:c>
      <x:c r="H26" s="15" t="n">
        <x:f>'Score Inputs'!C26</x:f>
        <x:v>7.5</x:v>
      </x:c>
      <x:c r="I26" s="15" t="n">
        <x:f>'Score Inputs'!E26</x:f>
        <x:v>8.5</x:v>
      </x:c>
      <x:c r="J26" s="15" t="n">
        <x:f>'Score Inputs'!N26</x:f>
        <x:v>1</x:v>
      </x:c>
      <x:c r="K26" s="15" t="n">
        <x:f>'Score Inputs'!O26</x:f>
        <x:v>2</x:v>
      </x:c>
    </x:row>
    <x:row r="27" ht="48" customHeight="1">
      <x:c r="A27" s="15" t="str">
        <x:v>Baseline</x:v>
      </x:c>
      <x:c r="B27" s="15" t="str">
        <x:v>Briefcase Coach</x:v>
      </x:c>
      <x:c r="C27" s="34" t="n">
        <x:f>ROUND(SUMPRODUCT('Score Inputs'!C27:K27,Rubric!$C$27:$K$27)/Rubric!$B$8,8)</x:f>
        <x:v>79.25</x:v>
      </x:c>
      <x:c r="D27" s="36" t="n">
        <x:f>1+COUNTIF($C$6:$C$30,"&gt;"&amp;C27)+COUNTIFS($C$6:$C$30,C27,$G$6:$G$30,"&gt;"&amp;G27)+COUNTIFS($C$6:$C$30,C27,$G$6:$G$30,G27,$H$6:$H$30,"&gt;"&amp;H27)+COUNTIFS($C$6:$C$30,C27,$G$6:$G$30,G27,$H$6:$H$30,H27,$I$6:$I$30,"&gt;"&amp;I27)+COUNTIFS($C$6:$C$30,C27,$G$6:$G$30,G27,$H$6:$H$30,H27,$I$6:$I$30,I27,$J$6:$J$30,"&gt;"&amp;J27)+COUNTIFS($C$6:$C$30,C27,$G$6:$G$30,G27,$H$6:$H$30,H27,$I$6:$I$30,I27,$J$6:$J$30,J27,$K$6:$K$30,"&lt;"&amp;K27)</x:f>
        <x:v>14</x:v>
      </x:c>
      <x:c r="E27" s="36" t="n">
        <x:f>'Score Inputs'!P27</x:f>
        <x:v>14</x:v>
      </x:c>
      <x:c r="F27" s="36" t="n">
        <x:f>E27-D27</x:f>
        <x:v>0</x:v>
      </x:c>
      <x:c r="G27" s="15" t="n">
        <x:f>'Score Inputs'!D27</x:f>
        <x:v>7.5</x:v>
      </x:c>
      <x:c r="H27" s="15" t="n">
        <x:f>'Score Inputs'!C27</x:f>
        <x:v>8</x:v>
      </x:c>
      <x:c r="I27" s="15" t="n">
        <x:f>'Score Inputs'!E27</x:f>
        <x:v>7.5</x:v>
      </x:c>
      <x:c r="J27" s="15" t="n">
        <x:f>'Score Inputs'!N27</x:f>
        <x:v>2</x:v>
      </x:c>
      <x:c r="K27" s="15" t="n">
        <x:f>'Score Inputs'!O27</x:f>
        <x:v>3</x:v>
      </x:c>
    </x:row>
    <x:row r="28" ht="48" customHeight="1">
      <x:c r="A28" s="15" t="str">
        <x:v>Baseline</x:v>
      </x:c>
      <x:c r="B28" s="15" t="str">
        <x:v>Klaxos</x:v>
      </x:c>
      <x:c r="C28" s="34" t="n">
        <x:f>ROUND(SUMPRODUCT('Score Inputs'!C28:K28,Rubric!$C$27:$K$27)/Rubric!$B$8,8)</x:f>
        <x:v>75.75</x:v>
      </x:c>
      <x:c r="D28" s="36" t="n">
        <x:f>1+COUNTIF($C$6:$C$30,"&gt;"&amp;C28)+COUNTIFS($C$6:$C$30,C28,$G$6:$G$30,"&gt;"&amp;G28)+COUNTIFS($C$6:$C$30,C28,$G$6:$G$30,G28,$H$6:$H$30,"&gt;"&amp;H28)+COUNTIFS($C$6:$C$30,C28,$G$6:$G$30,G28,$H$6:$H$30,H28,$I$6:$I$30,"&gt;"&amp;I28)+COUNTIFS($C$6:$C$30,C28,$G$6:$G$30,G28,$H$6:$H$30,H28,$I$6:$I$30,I28,$J$6:$J$30,"&gt;"&amp;J28)+COUNTIFS($C$6:$C$30,C28,$G$6:$G$30,G28,$H$6:$H$30,H28,$I$6:$I$30,I28,$J$6:$J$30,J28,$K$6:$K$30,"&lt;"&amp;K28)</x:f>
        <x:v>20</x:v>
      </x:c>
      <x:c r="E28" s="36" t="n">
        <x:f>'Score Inputs'!P28</x:f>
        <x:v>20</x:v>
      </x:c>
      <x:c r="F28" s="36" t="n">
        <x:f>E28-D28</x:f>
        <x:v>0</x:v>
      </x:c>
      <x:c r="G28" s="15" t="n">
        <x:f>'Score Inputs'!D28</x:f>
        <x:v>7</x:v>
      </x:c>
      <x:c r="H28" s="15" t="n">
        <x:f>'Score Inputs'!C28</x:f>
        <x:v>8</x:v>
      </x:c>
      <x:c r="I28" s="15" t="n">
        <x:f>'Score Inputs'!E28</x:f>
        <x:v>7.5</x:v>
      </x:c>
      <x:c r="J28" s="15" t="n">
        <x:f>'Score Inputs'!N28</x:f>
        <x:v>1</x:v>
      </x:c>
      <x:c r="K28" s="15" t="n">
        <x:f>'Score Inputs'!O28</x:f>
        <x:v>13</x:v>
      </x:c>
    </x:row>
    <x:row r="29" ht="48" customHeight="1">
      <x:c r="A29" s="15" t="str">
        <x:v>Baseline</x:v>
      </x:c>
      <x:c r="B29" s="15" t="str">
        <x:v>Scientech Resumes / Scientech Career Systems</x:v>
      </x:c>
      <x:c r="C29" s="34" t="n">
        <x:f>ROUND(SUMPRODUCT('Score Inputs'!C29:K29,Rubric!$C$27:$K$27)/Rubric!$B$8,8)</x:f>
        <x:v>77.25</x:v>
      </x:c>
      <x:c r="D29" s="36" t="n">
        <x:f>1+COUNTIF($C$6:$C$30,"&gt;"&amp;C29)+COUNTIFS($C$6:$C$30,C29,$G$6:$G$30,"&gt;"&amp;G29)+COUNTIFS($C$6:$C$30,C29,$G$6:$G$30,G29,$H$6:$H$30,"&gt;"&amp;H29)+COUNTIFS($C$6:$C$30,C29,$G$6:$G$30,G29,$H$6:$H$30,H29,$I$6:$I$30,"&gt;"&amp;I29)+COUNTIFS($C$6:$C$30,C29,$G$6:$G$30,G29,$H$6:$H$30,H29,$I$6:$I$30,I29,$J$6:$J$30,"&gt;"&amp;J29)+COUNTIFS($C$6:$C$30,C29,$G$6:$G$30,G29,$H$6:$H$30,H29,$I$6:$I$30,I29,$J$6:$J$30,J29,$K$6:$K$30,"&lt;"&amp;K29)</x:f>
        <x:v>17</x:v>
      </x:c>
      <x:c r="E29" s="36" t="n">
        <x:f>'Score Inputs'!P29</x:f>
        <x:v>17</x:v>
      </x:c>
      <x:c r="F29" s="36" t="n">
        <x:f>E29-D29</x:f>
        <x:v>0</x:v>
      </x:c>
      <x:c r="G29" s="15" t="n">
        <x:f>'Score Inputs'!D29</x:f>
        <x:v>7.5</x:v>
      </x:c>
      <x:c r="H29" s="15" t="n">
        <x:f>'Score Inputs'!C29</x:f>
        <x:v>7.5</x:v>
      </x:c>
      <x:c r="I29" s="15" t="n">
        <x:f>'Score Inputs'!E29</x:f>
        <x:v>7</x:v>
      </x:c>
      <x:c r="J29" s="15" t="n">
        <x:f>'Score Inputs'!N29</x:f>
        <x:v>1</x:v>
      </x:c>
      <x:c r="K29" s="15" t="n">
        <x:f>'Score Inputs'!O29</x:f>
        <x:v>20</x:v>
      </x:c>
    </x:row>
    <x:row r="30" ht="48" customHeight="1">
      <x:c r="A30" s="15" t="str">
        <x:v>Baseline</x:v>
      </x:c>
      <x:c r="B30" s="15" t="str">
        <x:v>Employment BOOST</x:v>
      </x:c>
      <x:c r="C30" s="34" t="n">
        <x:f>ROUND(SUMPRODUCT('Score Inputs'!C30:K30,Rubric!$C$27:$K$27)/Rubric!$B$8,8)</x:f>
        <x:v>80.5</x:v>
      </x:c>
      <x:c r="D30" s="36" t="n">
        <x:f>1+COUNTIF($C$6:$C$30,"&gt;"&amp;C30)+COUNTIFS($C$6:$C$30,C30,$G$6:$G$30,"&gt;"&amp;G30)+COUNTIFS($C$6:$C$30,C30,$G$6:$G$30,G30,$H$6:$H$30,"&gt;"&amp;H30)+COUNTIFS($C$6:$C$30,C30,$G$6:$G$30,G30,$H$6:$H$30,H30,$I$6:$I$30,"&gt;"&amp;I30)+COUNTIFS($C$6:$C$30,C30,$G$6:$G$30,G30,$H$6:$H$30,H30,$I$6:$I$30,I30,$J$6:$J$30,"&gt;"&amp;J30)+COUNTIFS($C$6:$C$30,C30,$G$6:$G$30,G30,$H$6:$H$30,H30,$I$6:$I$30,I30,$J$6:$J$30,J30,$K$6:$K$30,"&lt;"&amp;K30)</x:f>
        <x:v>9</x:v>
      </x:c>
      <x:c r="E30" s="36" t="n">
        <x:f>'Score Inputs'!P30</x:f>
        <x:v>9</x:v>
      </x:c>
      <x:c r="F30" s="36" t="n">
        <x:f>E30-D30</x:f>
        <x:v>0</x:v>
      </x:c>
      <x:c r="G30" s="15" t="n">
        <x:f>'Score Inputs'!D30</x:f>
        <x:v>7.5</x:v>
      </x:c>
      <x:c r="H30" s="15" t="n">
        <x:f>'Score Inputs'!C30</x:f>
        <x:v>8.5</x:v>
      </x:c>
      <x:c r="I30" s="15" t="n">
        <x:f>'Score Inputs'!E30</x:f>
        <x:v>8</x:v>
      </x:c>
      <x:c r="J30" s="15" t="n">
        <x:f>'Score Inputs'!N30</x:f>
        <x:v>2</x:v>
      </x:c>
      <x:c r="K30" s="15" t="n">
        <x:f>'Score Inputs'!O30</x:f>
        <x:v>8</x:v>
      </x:c>
    </x:row>
    <x:row r="31" ht="48" customHeight="1">
      <x:c r="A31" s="15" t="str">
        <x:v>Craft and credentials</x:v>
      </x:c>
      <x:c r="B31" s="15" t="str">
        <x:v>Let’s Eat, Grandma</x:v>
      </x:c>
      <x:c r="C31" s="34" t="n">
        <x:f>ROUND(SUMPRODUCT('Score Inputs'!C6:K6,Rubric!$C$28:$K$28)/Rubric!$B$8,8)</x:f>
        <x:v>79.75</x:v>
      </x:c>
      <x:c r="D31" s="36" t="n">
        <x:f>1+COUNTIF($C$31:$C$55,"&gt;"&amp;C31)+COUNTIFS($C$31:$C$55,C31,$G$31:$G$55,"&gt;"&amp;G31)+COUNTIFS($C$31:$C$55,C31,$G$31:$G$55,G31,$H$31:$H$55,"&gt;"&amp;H31)+COUNTIFS($C$31:$C$55,C31,$G$31:$G$55,G31,$H$31:$H$55,H31,$I$31:$I$55,"&gt;"&amp;I31)+COUNTIFS($C$31:$C$55,C31,$G$31:$G$55,G31,$H$31:$H$55,H31,$I$31:$I$55,I31,$J$31:$J$55,"&gt;"&amp;J31)+COUNTIFS($C$31:$C$55,C31,$G$31:$G$55,G31,$H$31:$H$55,H31,$I$31:$I$55,I31,$J$31:$J$55,J31,$K$31:$K$55,"&lt;"&amp;K31)</x:f>
        <x:v>13</x:v>
      </x:c>
      <x:c r="E31" s="36" t="n">
        <x:f>'Score Inputs'!P6</x:f>
        <x:v>13</x:v>
      </x:c>
      <x:c r="F31" s="36" t="n">
        <x:f>E31-D31</x:f>
        <x:v>0</x:v>
      </x:c>
      <x:c r="G31" s="15" t="n">
        <x:f>'Score Inputs'!D6</x:f>
        <x:v>8</x:v>
      </x:c>
      <x:c r="H31" s="15" t="n">
        <x:f>'Score Inputs'!C6</x:f>
        <x:v>8.5</x:v>
      </x:c>
      <x:c r="I31" s="15" t="n">
        <x:f>'Score Inputs'!E6</x:f>
        <x:v>8.5</x:v>
      </x:c>
      <x:c r="J31" s="15" t="n">
        <x:f>'Score Inputs'!N6</x:f>
        <x:v>2</x:v>
      </x:c>
      <x:c r="K31" s="15" t="n">
        <x:f>'Score Inputs'!O6</x:f>
        <x:v>14</x:v>
      </x:c>
    </x:row>
    <x:row r="32" ht="48" customHeight="1">
      <x:c r="A32" s="15" t="str">
        <x:v>Craft and credentials</x:v>
      </x:c>
      <x:c r="B32" s="15" t="str">
        <x:v>Find My Profession</x:v>
      </x:c>
      <x:c r="C32" s="34" t="n">
        <x:f>ROUND(SUMPRODUCT('Score Inputs'!C7:K7,Rubric!$C$28:$K$28)/Rubric!$B$8,8)</x:f>
        <x:v>81.25</x:v>
      </x:c>
      <x:c r="D32" s="36" t="n">
        <x:f>1+COUNTIF($C$31:$C$55,"&gt;"&amp;C32)+COUNTIFS($C$31:$C$55,C32,$G$31:$G$55,"&gt;"&amp;G32)+COUNTIFS($C$31:$C$55,C32,$G$31:$G$55,G32,$H$31:$H$55,"&gt;"&amp;H32)+COUNTIFS($C$31:$C$55,C32,$G$31:$G$55,G32,$H$31:$H$55,H32,$I$31:$I$55,"&gt;"&amp;I32)+COUNTIFS($C$31:$C$55,C32,$G$31:$G$55,G32,$H$31:$H$55,H32,$I$31:$I$55,I32,$J$31:$J$55,"&gt;"&amp;J32)+COUNTIFS($C$31:$C$55,C32,$G$31:$G$55,G32,$H$31:$H$55,H32,$I$31:$I$55,I32,$J$31:$J$55,J32,$K$31:$K$55,"&lt;"&amp;K32)</x:f>
        <x:v>8</x:v>
      </x:c>
      <x:c r="E32" s="36" t="n">
        <x:f>'Score Inputs'!P7</x:f>
        <x:v>8</x:v>
      </x:c>
      <x:c r="F32" s="36" t="n">
        <x:f>E32-D32</x:f>
        <x:v>0</x:v>
      </x:c>
      <x:c r="G32" s="15" t="n">
        <x:f>'Score Inputs'!D7</x:f>
        <x:v>7.5</x:v>
      </x:c>
      <x:c r="H32" s="15" t="n">
        <x:f>'Score Inputs'!C7</x:f>
        <x:v>8.5</x:v>
      </x:c>
      <x:c r="I32" s="15" t="n">
        <x:f>'Score Inputs'!E7</x:f>
        <x:v>8</x:v>
      </x:c>
      <x:c r="J32" s="15" t="n">
        <x:f>'Score Inputs'!N7</x:f>
        <x:v>2</x:v>
      </x:c>
      <x:c r="K32" s="15" t="n">
        <x:f>'Score Inputs'!O7</x:f>
        <x:v>9</x:v>
      </x:c>
    </x:row>
    <x:row r="33" ht="48" customHeight="1">
      <x:c r="A33" s="15" t="str">
        <x:v>Craft and credentials</x:v>
      </x:c>
      <x:c r="B33" s="15" t="str">
        <x:v>TopStack Resume</x:v>
      </x:c>
      <x:c r="C33" s="34" t="n">
        <x:f>ROUND(SUMPRODUCT('Score Inputs'!C8:K8,Rubric!$C$28:$K$28)/Rubric!$B$8,8)</x:f>
        <x:v>75.375</x:v>
      </x:c>
      <x:c r="D33" s="36" t="n">
        <x:f>1+COUNTIF($C$31:$C$55,"&gt;"&amp;C33)+COUNTIFS($C$31:$C$55,C33,$G$31:$G$55,"&gt;"&amp;G33)+COUNTIFS($C$31:$C$55,C33,$G$31:$G$55,G33,$H$31:$H$55,"&gt;"&amp;H33)+COUNTIFS($C$31:$C$55,C33,$G$31:$G$55,G33,$H$31:$H$55,H33,$I$31:$I$55,"&gt;"&amp;I33)+COUNTIFS($C$31:$C$55,C33,$G$31:$G$55,G33,$H$31:$H$55,H33,$I$31:$I$55,I33,$J$31:$J$55,"&gt;"&amp;J33)+COUNTIFS($C$31:$C$55,C33,$G$31:$G$55,G33,$H$31:$H$55,H33,$I$31:$I$55,I33,$J$31:$J$55,J33,$K$31:$K$55,"&lt;"&amp;K33)</x:f>
        <x:v>20</x:v>
      </x:c>
      <x:c r="E33" s="36" t="n">
        <x:f>'Score Inputs'!P8</x:f>
        <x:v>18</x:v>
      </x:c>
      <x:c r="F33" s="36" t="n">
        <x:f>E33-D33</x:f>
        <x:v>-2</x:v>
      </x:c>
      <x:c r="G33" s="15" t="n">
        <x:f>'Score Inputs'!D8</x:f>
        <x:v>7</x:v>
      </x:c>
      <x:c r="H33" s="15" t="n">
        <x:f>'Score Inputs'!C8</x:f>
        <x:v>8.5</x:v>
      </x:c>
      <x:c r="I33" s="15" t="n">
        <x:f>'Score Inputs'!E8</x:f>
        <x:v>9</x:v>
      </x:c>
      <x:c r="J33" s="15" t="n">
        <x:f>'Score Inputs'!N8</x:f>
        <x:v>2</x:v>
      </x:c>
      <x:c r="K33" s="15" t="n">
        <x:f>'Score Inputs'!O8</x:f>
        <x:v>24</x:v>
      </x:c>
    </x:row>
    <x:row r="34" ht="48" customHeight="1">
      <x:c r="A34" s="15" t="str">
        <x:v>Craft and credentials</x:v>
      </x:c>
      <x:c r="B34" s="15" t="str">
        <x:v>Resumeble</x:v>
      </x:c>
      <x:c r="C34" s="34" t="n">
        <x:f>ROUND(SUMPRODUCT('Score Inputs'!C9:K9,Rubric!$C$28:$K$28)/Rubric!$B$8,8)</x:f>
        <x:v>73.125</x:v>
      </x:c>
      <x:c r="D34" s="36" t="n">
        <x:f>1+COUNTIF($C$31:$C$55,"&gt;"&amp;C34)+COUNTIFS($C$31:$C$55,C34,$G$31:$G$55,"&gt;"&amp;G34)+COUNTIFS($C$31:$C$55,C34,$G$31:$G$55,G34,$H$31:$H$55,"&gt;"&amp;H34)+COUNTIFS($C$31:$C$55,C34,$G$31:$G$55,G34,$H$31:$H$55,H34,$I$31:$I$55,"&gt;"&amp;I34)+COUNTIFS($C$31:$C$55,C34,$G$31:$G$55,G34,$H$31:$H$55,H34,$I$31:$I$55,I34,$J$31:$J$55,"&gt;"&amp;J34)+COUNTIFS($C$31:$C$55,C34,$G$31:$G$55,G34,$H$31:$H$55,H34,$I$31:$I$55,I34,$J$31:$J$55,J34,$K$31:$K$55,"&lt;"&amp;K34)</x:f>
        <x:v>22</x:v>
      </x:c>
      <x:c r="E34" s="36" t="n">
        <x:f>'Score Inputs'!P9</x:f>
        <x:v>21</x:v>
      </x:c>
      <x:c r="F34" s="36" t="n">
        <x:f>E34-D34</x:f>
        <x:v>-1</x:v>
      </x:c>
      <x:c r="G34" s="15" t="n">
        <x:f>'Score Inputs'!D9</x:f>
        <x:v>7</x:v>
      </x:c>
      <x:c r="H34" s="15" t="n">
        <x:f>'Score Inputs'!C9</x:f>
        <x:v>8</x:v>
      </x:c>
      <x:c r="I34" s="15" t="n">
        <x:f>'Score Inputs'!E9</x:f>
        <x:v>8.5</x:v>
      </x:c>
      <x:c r="J34" s="15" t="n">
        <x:f>'Score Inputs'!N9</x:f>
        <x:v>2</x:v>
      </x:c>
      <x:c r="K34" s="15" t="n">
        <x:f>'Score Inputs'!O9</x:f>
        <x:v>19</x:v>
      </x:c>
    </x:row>
    <x:row r="35" ht="48" customHeight="1">
      <x:c r="A35" s="15" t="str">
        <x:v>Craft and credentials</x:v>
      </x:c>
      <x:c r="B35" s="15" t="str">
        <x:v>ResumeSpice</x:v>
      </x:c>
      <x:c r="C35" s="34" t="n">
        <x:f>ROUND(SUMPRODUCT('Score Inputs'!C10:K10,Rubric!$C$28:$K$28)/Rubric!$B$8,8)</x:f>
        <x:v>81.5</x:v>
      </x:c>
      <x:c r="D35" s="36" t="n">
        <x:f>1+COUNTIF($C$31:$C$55,"&gt;"&amp;C35)+COUNTIFS($C$31:$C$55,C35,$G$31:$G$55,"&gt;"&amp;G35)+COUNTIFS($C$31:$C$55,C35,$G$31:$G$55,G35,$H$31:$H$55,"&gt;"&amp;H35)+COUNTIFS($C$31:$C$55,C35,$G$31:$G$55,G35,$H$31:$H$55,H35,$I$31:$I$55,"&gt;"&amp;I35)+COUNTIFS($C$31:$C$55,C35,$G$31:$G$55,G35,$H$31:$H$55,H35,$I$31:$I$55,I35,$J$31:$J$55,"&gt;"&amp;J35)+COUNTIFS($C$31:$C$55,C35,$G$31:$G$55,G35,$H$31:$H$55,H35,$I$31:$I$55,I35,$J$31:$J$55,J35,$K$31:$K$55,"&lt;"&amp;K35)</x:f>
        <x:v>7</x:v>
      </x:c>
      <x:c r="E35" s="36" t="n">
        <x:f>'Score Inputs'!P10</x:f>
        <x:v>7</x:v>
      </x:c>
      <x:c r="F35" s="36" t="n">
        <x:f>E35-D35</x:f>
        <x:v>0</x:v>
      </x:c>
      <x:c r="G35" s="15" t="n">
        <x:f>'Score Inputs'!D10</x:f>
        <x:v>8</x:v>
      </x:c>
      <x:c r="H35" s="15" t="n">
        <x:f>'Score Inputs'!C10</x:f>
        <x:v>9</x:v>
      </x:c>
      <x:c r="I35" s="15" t="n">
        <x:f>'Score Inputs'!E10</x:f>
        <x:v>8</x:v>
      </x:c>
      <x:c r="J35" s="15" t="n">
        <x:f>'Score Inputs'!N10</x:f>
        <x:v>2</x:v>
      </x:c>
      <x:c r="K35" s="15" t="n">
        <x:f>'Score Inputs'!O10</x:f>
        <x:v>18</x:v>
      </x:c>
    </x:row>
    <x:row r="36" ht="48" customHeight="1">
      <x:c r="A36" s="15" t="str">
        <x:v>Craft and credentials</x:v>
      </x:c>
      <x:c r="B36" s="15" t="str">
        <x:v>Great Resumes Fast</x:v>
      </x:c>
      <x:c r="C36" s="34" t="n">
        <x:f>ROUND(SUMPRODUCT('Score Inputs'!C11:K11,Rubric!$C$28:$K$28)/Rubric!$B$8,8)</x:f>
        <x:v>80.875</x:v>
      </x:c>
      <x:c r="D36" s="36" t="n">
        <x:f>1+COUNTIF($C$31:$C$55,"&gt;"&amp;C36)+COUNTIFS($C$31:$C$55,C36,$G$31:$G$55,"&gt;"&amp;G36)+COUNTIFS($C$31:$C$55,C36,$G$31:$G$55,G36,$H$31:$H$55,"&gt;"&amp;H36)+COUNTIFS($C$31:$C$55,C36,$G$31:$G$55,G36,$H$31:$H$55,H36,$I$31:$I$55,"&gt;"&amp;I36)+COUNTIFS($C$31:$C$55,C36,$G$31:$G$55,G36,$H$31:$H$55,H36,$I$31:$I$55,I36,$J$31:$J$55,"&gt;"&amp;J36)+COUNTIFS($C$31:$C$55,C36,$G$31:$G$55,G36,$H$31:$H$55,H36,$I$31:$I$55,I36,$J$31:$J$55,J36,$K$31:$K$55,"&lt;"&amp;K36)</x:f>
        <x:v>9</x:v>
      </x:c>
      <x:c r="E36" s="36" t="n">
        <x:f>'Score Inputs'!P11</x:f>
        <x:v>11</x:v>
      </x:c>
      <x:c r="F36" s="36" t="n">
        <x:f>E36-D36</x:f>
        <x:v>2</x:v>
      </x:c>
      <x:c r="G36" s="15" t="n">
        <x:f>'Score Inputs'!D11</x:f>
        <x:v>7.5</x:v>
      </x:c>
      <x:c r="H36" s="15" t="n">
        <x:f>'Score Inputs'!C11</x:f>
        <x:v>8</x:v>
      </x:c>
      <x:c r="I36" s="15" t="n">
        <x:f>'Score Inputs'!E11</x:f>
        <x:v>8</x:v>
      </x:c>
      <x:c r="J36" s="15" t="n">
        <x:f>'Score Inputs'!N11</x:f>
        <x:v>2</x:v>
      </x:c>
      <x:c r="K36" s="15" t="n">
        <x:f>'Score Inputs'!O11</x:f>
        <x:v>10</x:v>
      </x:c>
    </x:row>
    <x:row r="37" ht="48" customHeight="1">
      <x:c r="A37" s="15" t="str">
        <x:v>Craft and credentials</x:v>
      </x:c>
      <x:c r="B37" s="15" t="str">
        <x:v>TopResume</x:v>
      </x:c>
      <x:c r="C37" s="34" t="n">
        <x:f>ROUND(SUMPRODUCT('Score Inputs'!C12:K12,Rubric!$C$28:$K$28)/Rubric!$B$8,8)</x:f>
        <x:v>62</x:v>
      </x:c>
      <x:c r="D37" s="36" t="n">
        <x:f>1+COUNTIF($C$31:$C$55,"&gt;"&amp;C37)+COUNTIFS($C$31:$C$55,C37,$G$31:$G$55,"&gt;"&amp;G37)+COUNTIFS($C$31:$C$55,C37,$G$31:$G$55,G37,$H$31:$H$55,"&gt;"&amp;H37)+COUNTIFS($C$31:$C$55,C37,$G$31:$G$55,G37,$H$31:$H$55,H37,$I$31:$I$55,"&gt;"&amp;I37)+COUNTIFS($C$31:$C$55,C37,$G$31:$G$55,G37,$H$31:$H$55,H37,$I$31:$I$55,I37,$J$31:$J$55,"&gt;"&amp;J37)+COUNTIFS($C$31:$C$55,C37,$G$31:$G$55,G37,$H$31:$H$55,H37,$I$31:$I$55,I37,$J$31:$J$55,J37,$K$31:$K$55,"&lt;"&amp;K37)</x:f>
        <x:v>24</x:v>
      </x:c>
      <x:c r="E37" s="36" t="n">
        <x:f>'Score Inputs'!P12</x:f>
        <x:v>24</x:v>
      </x:c>
      <x:c r="F37" s="36" t="n">
        <x:f>E37-D37</x:f>
        <x:v>0</x:v>
      </x:c>
      <x:c r="G37" s="15" t="n">
        <x:f>'Score Inputs'!D12</x:f>
        <x:v>7</x:v>
      </x:c>
      <x:c r="H37" s="15" t="n">
        <x:f>'Score Inputs'!C12</x:f>
        <x:v>6.5</x:v>
      </x:c>
      <x:c r="I37" s="15" t="n">
        <x:f>'Score Inputs'!E12</x:f>
        <x:v>6.5</x:v>
      </x:c>
      <x:c r="J37" s="15" t="n">
        <x:f>'Score Inputs'!N12</x:f>
        <x:v>2</x:v>
      </x:c>
      <x:c r="K37" s="15" t="n">
        <x:f>'Score Inputs'!O12</x:f>
        <x:v>23</x:v>
      </x:c>
    </x:row>
    <x:row r="38" ht="48" customHeight="1">
      <x:c r="A38" s="15" t="str">
        <x:v>Craft and credentials</x:v>
      </x:c>
      <x:c r="B38" s="15" t="str">
        <x:v>The Resume Place</x:v>
      </x:c>
      <x:c r="C38" s="34" t="n">
        <x:f>ROUND(SUMPRODUCT('Score Inputs'!C13:K13,Rubric!$C$28:$K$28)/Rubric!$B$8,8)</x:f>
        <x:v>77.375</x:v>
      </x:c>
      <x:c r="D38" s="36" t="n">
        <x:f>1+COUNTIF($C$31:$C$55,"&gt;"&amp;C38)+COUNTIFS($C$31:$C$55,C38,$G$31:$G$55,"&gt;"&amp;G38)+COUNTIFS($C$31:$C$55,C38,$G$31:$G$55,G38,$H$31:$H$55,"&gt;"&amp;H38)+COUNTIFS($C$31:$C$55,C38,$G$31:$G$55,G38,$H$31:$H$55,H38,$I$31:$I$55,"&gt;"&amp;I38)+COUNTIFS($C$31:$C$55,C38,$G$31:$G$55,G38,$H$31:$H$55,H38,$I$31:$I$55,I38,$J$31:$J$55,"&gt;"&amp;J38)+COUNTIFS($C$31:$C$55,C38,$G$31:$G$55,G38,$H$31:$H$55,H38,$I$31:$I$55,I38,$J$31:$J$55,J38,$K$31:$K$55,"&lt;"&amp;K38)</x:f>
        <x:v>17</x:v>
      </x:c>
      <x:c r="E38" s="36" t="n">
        <x:f>'Score Inputs'!P13</x:f>
        <x:v>19</x:v>
      </x:c>
      <x:c r="F38" s="36" t="n">
        <x:f>E38-D38</x:f>
        <x:v>2</x:v>
      </x:c>
      <x:c r="G38" s="15" t="n">
        <x:f>'Score Inputs'!D13</x:f>
        <x:v>7</x:v>
      </x:c>
      <x:c r="H38" s="15" t="n">
        <x:f>'Score Inputs'!C13</x:f>
        <x:v>7</x:v>
      </x:c>
      <x:c r="I38" s="15" t="n">
        <x:f>'Score Inputs'!E13</x:f>
        <x:v>7</x:v>
      </x:c>
      <x:c r="J38" s="15" t="n">
        <x:f>'Score Inputs'!N13</x:f>
        <x:v>1</x:v>
      </x:c>
      <x:c r="K38" s="15" t="n">
        <x:f>'Score Inputs'!O13</x:f>
        <x:v>21</x:v>
      </x:c>
    </x:row>
    <x:row r="39" ht="48" customHeight="1">
      <x:c r="A39" s="15" t="str">
        <x:v>Craft and credentials</x:v>
      </x:c>
      <x:c r="B39" s="15" t="str">
        <x:v>Ivy League Résumés</x:v>
      </x:c>
      <x:c r="C39" s="34" t="n">
        <x:f>ROUND(SUMPRODUCT('Score Inputs'!C14:K14,Rubric!$C$28:$K$28)/Rubric!$B$8,8)</x:f>
        <x:v>88.75</x:v>
      </x:c>
      <x:c r="D39" s="36" t="n">
        <x:f>1+COUNTIF($C$31:$C$55,"&gt;"&amp;C39)+COUNTIFS($C$31:$C$55,C39,$G$31:$G$55,"&gt;"&amp;G39)+COUNTIFS($C$31:$C$55,C39,$G$31:$G$55,G39,$H$31:$H$55,"&gt;"&amp;H39)+COUNTIFS($C$31:$C$55,C39,$G$31:$G$55,G39,$H$31:$H$55,H39,$I$31:$I$55,"&gt;"&amp;I39)+COUNTIFS($C$31:$C$55,C39,$G$31:$G$55,G39,$H$31:$H$55,H39,$I$31:$I$55,I39,$J$31:$J$55,"&gt;"&amp;J39)+COUNTIFS($C$31:$C$55,C39,$G$31:$G$55,G39,$H$31:$H$55,H39,$I$31:$I$55,I39,$J$31:$J$55,J39,$K$31:$K$55,"&lt;"&amp;K39)</x:f>
        <x:v>1</x:v>
      </x:c>
      <x:c r="E39" s="36" t="n">
        <x:f>'Score Inputs'!P14</x:f>
        <x:v>1</x:v>
      </x:c>
      <x:c r="F39" s="36" t="n">
        <x:f>E39-D39</x:f>
        <x:v>0</x:v>
      </x:c>
      <x:c r="G39" s="15" t="n">
        <x:f>'Score Inputs'!D14</x:f>
        <x:v>8.5</x:v>
      </x:c>
      <x:c r="H39" s="15" t="n">
        <x:f>'Score Inputs'!C14</x:f>
        <x:v>9</x:v>
      </x:c>
      <x:c r="I39" s="15" t="n">
        <x:f>'Score Inputs'!E14</x:f>
        <x:v>9</x:v>
      </x:c>
      <x:c r="J39" s="15" t="n">
        <x:f>'Score Inputs'!N14</x:f>
        <x:v>2</x:v>
      </x:c>
      <x:c r="K39" s="15" t="n">
        <x:f>'Score Inputs'!O14</x:f>
        <x:v>11</x:v>
      </x:c>
    </x:row>
    <x:row r="40" ht="48" customHeight="1">
      <x:c r="A40" s="15" t="str">
        <x:v>Craft and credentials</x:v>
      </x:c>
      <x:c r="B40" s="15" t="str">
        <x:v>JobStars USA</x:v>
      </x:c>
      <x:c r="C40" s="34" t="n">
        <x:f>ROUND(SUMPRODUCT('Score Inputs'!C15:K15,Rubric!$C$28:$K$28)/Rubric!$B$8,8)</x:f>
        <x:v>80.125</x:v>
      </x:c>
      <x:c r="D40" s="36" t="n">
        <x:f>1+COUNTIF($C$31:$C$55,"&gt;"&amp;C40)+COUNTIFS($C$31:$C$55,C40,$G$31:$G$55,"&gt;"&amp;G40)+COUNTIFS($C$31:$C$55,C40,$G$31:$G$55,G40,$H$31:$H$55,"&gt;"&amp;H40)+COUNTIFS($C$31:$C$55,C40,$G$31:$G$55,G40,$H$31:$H$55,H40,$I$31:$I$55,"&gt;"&amp;I40)+COUNTIFS($C$31:$C$55,C40,$G$31:$G$55,G40,$H$31:$H$55,H40,$I$31:$I$55,I40,$J$31:$J$55,"&gt;"&amp;J40)+COUNTIFS($C$31:$C$55,C40,$G$31:$G$55,G40,$H$31:$H$55,H40,$I$31:$I$55,I40,$J$31:$J$55,J40,$K$31:$K$55,"&lt;"&amp;K40)</x:f>
        <x:v>12</x:v>
      </x:c>
      <x:c r="E40" s="36" t="n">
        <x:f>'Score Inputs'!P15</x:f>
        <x:v>10</x:v>
      </x:c>
      <x:c r="F40" s="36" t="n">
        <x:f>E40-D40</x:f>
        <x:v>-2</x:v>
      </x:c>
      <x:c r="G40" s="15" t="n">
        <x:f>'Score Inputs'!D15</x:f>
        <x:v>7.5</x:v>
      </x:c>
      <x:c r="H40" s="15" t="n">
        <x:f>'Score Inputs'!C15</x:f>
        <x:v>8.5</x:v>
      </x:c>
      <x:c r="I40" s="15" t="n">
        <x:f>'Score Inputs'!E15</x:f>
        <x:v>8</x:v>
      </x:c>
      <x:c r="J40" s="15" t="n">
        <x:f>'Score Inputs'!N15</x:f>
        <x:v>2</x:v>
      </x:c>
      <x:c r="K40" s="15" t="n">
        <x:f>'Score Inputs'!O15</x:f>
        <x:v>12</x:v>
      </x:c>
    </x:row>
    <x:row r="41" ht="48" customHeight="1">
      <x:c r="A41" s="15" t="str">
        <x:v>Craft and credentials</x:v>
      </x:c>
      <x:c r="B41" s="15" t="str">
        <x:v>Resume Professional Writers</x:v>
      </x:c>
      <x:c r="C41" s="34" t="n">
        <x:f>ROUND(SUMPRODUCT('Score Inputs'!C16:K16,Rubric!$C$28:$K$28)/Rubric!$B$8,8)</x:f>
        <x:v>63.75</x:v>
      </x:c>
      <x:c r="D41" s="36" t="n">
        <x:f>1+COUNTIF($C$31:$C$55,"&gt;"&amp;C41)+COUNTIFS($C$31:$C$55,C41,$G$31:$G$55,"&gt;"&amp;G41)+COUNTIFS($C$31:$C$55,C41,$G$31:$G$55,G41,$H$31:$H$55,"&gt;"&amp;H41)+COUNTIFS($C$31:$C$55,C41,$G$31:$G$55,G41,$H$31:$H$55,H41,$I$31:$I$55,"&gt;"&amp;I41)+COUNTIFS($C$31:$C$55,C41,$G$31:$G$55,G41,$H$31:$H$55,H41,$I$31:$I$55,I41,$J$31:$J$55,"&gt;"&amp;J41)+COUNTIFS($C$31:$C$55,C41,$G$31:$G$55,G41,$H$31:$H$55,H41,$I$31:$I$55,I41,$J$31:$J$55,J41,$K$31:$K$55,"&lt;"&amp;K41)</x:f>
        <x:v>23</x:v>
      </x:c>
      <x:c r="E41" s="36" t="n">
        <x:f>'Score Inputs'!P16</x:f>
        <x:v>23</x:v>
      </x:c>
      <x:c r="F41" s="36" t="n">
        <x:f>E41-D41</x:f>
        <x:v>0</x:v>
      </x:c>
      <x:c r="G41" s="15" t="n">
        <x:f>'Score Inputs'!D16</x:f>
        <x:v>6</x:v>
      </x:c>
      <x:c r="H41" s="15" t="n">
        <x:f>'Score Inputs'!C16</x:f>
        <x:v>6.5</x:v>
      </x:c>
      <x:c r="I41" s="15" t="n">
        <x:f>'Score Inputs'!E16</x:f>
        <x:v>7.5</x:v>
      </x:c>
      <x:c r="J41" s="15" t="n">
        <x:f>'Score Inputs'!N16</x:f>
        <x:v>2</x:v>
      </x:c>
      <x:c r="K41" s="15" t="n">
        <x:f>'Score Inputs'!O16</x:f>
        <x:v>15</x:v>
      </x:c>
    </x:row>
    <x:row r="42" ht="48" customHeight="1">
      <x:c r="A42" s="15" t="str">
        <x:v>Craft and credentials</x:v>
      </x:c>
      <x:c r="B42" s="15" t="str">
        <x:v>iCareerSolutions</x:v>
      </x:c>
      <x:c r="C42" s="34" t="n">
        <x:f>ROUND(SUMPRODUCT('Score Inputs'!C17:K17,Rubric!$C$28:$K$28)/Rubric!$B$8,8)</x:f>
        <x:v>80.875</x:v>
      </x:c>
      <x:c r="D42" s="36" t="n">
        <x:f>1+COUNTIF($C$31:$C$55,"&gt;"&amp;C42)+COUNTIFS($C$31:$C$55,C42,$G$31:$G$55,"&gt;"&amp;G42)+COUNTIFS($C$31:$C$55,C42,$G$31:$G$55,G42,$H$31:$H$55,"&gt;"&amp;H42)+COUNTIFS($C$31:$C$55,C42,$G$31:$G$55,G42,$H$31:$H$55,H42,$I$31:$I$55,"&gt;"&amp;I42)+COUNTIFS($C$31:$C$55,C42,$G$31:$G$55,G42,$H$31:$H$55,H42,$I$31:$I$55,I42,$J$31:$J$55,"&gt;"&amp;J42)+COUNTIFS($C$31:$C$55,C42,$G$31:$G$55,G42,$H$31:$H$55,H42,$I$31:$I$55,I42,$J$31:$J$55,J42,$K$31:$K$55,"&lt;"&amp;K42)</x:f>
        <x:v>10</x:v>
      </x:c>
      <x:c r="E42" s="36" t="n">
        <x:f>'Score Inputs'!P17</x:f>
        <x:v>12</x:v>
      </x:c>
      <x:c r="F42" s="36" t="n">
        <x:f>E42-D42</x:f>
        <x:v>2</x:v>
      </x:c>
      <x:c r="G42" s="15" t="n">
        <x:f>'Score Inputs'!D17</x:f>
        <x:v>7.5</x:v>
      </x:c>
      <x:c r="H42" s="15" t="n">
        <x:f>'Score Inputs'!C17</x:f>
        <x:v>8</x:v>
      </x:c>
      <x:c r="I42" s="15" t="n">
        <x:f>'Score Inputs'!E17</x:f>
        <x:v>8</x:v>
      </x:c>
      <x:c r="J42" s="15" t="n">
        <x:f>'Score Inputs'!N17</x:f>
        <x:v>2</x:v>
      </x:c>
      <x:c r="K42" s="15" t="n">
        <x:f>'Score Inputs'!O17</x:f>
        <x:v>25</x:v>
      </x:c>
    </x:row>
    <x:row r="43" ht="48" customHeight="1">
      <x:c r="A43" s="15" t="str">
        <x:v>Craft and credentials</x:v>
      </x:c>
      <x:c r="B43" s="15" t="str">
        <x:v>Distinctive Career Services</x:v>
      </x:c>
      <x:c r="C43" s="34" t="n">
        <x:f>ROUND(SUMPRODUCT('Score Inputs'!C18:K18,Rubric!$C$28:$K$28)/Rubric!$B$8,8)</x:f>
        <x:v>83.5</x:v>
      </x:c>
      <x:c r="D43" s="36" t="n">
        <x:f>1+COUNTIF($C$31:$C$55,"&gt;"&amp;C43)+COUNTIFS($C$31:$C$55,C43,$G$31:$G$55,"&gt;"&amp;G43)+COUNTIFS($C$31:$C$55,C43,$G$31:$G$55,G43,$H$31:$H$55,"&gt;"&amp;H43)+COUNTIFS($C$31:$C$55,C43,$G$31:$G$55,G43,$H$31:$H$55,H43,$I$31:$I$55,"&gt;"&amp;I43)+COUNTIFS($C$31:$C$55,C43,$G$31:$G$55,G43,$H$31:$H$55,H43,$I$31:$I$55,I43,$J$31:$J$55,"&gt;"&amp;J43)+COUNTIFS($C$31:$C$55,C43,$G$31:$G$55,G43,$H$31:$H$55,H43,$I$31:$I$55,I43,$J$31:$J$55,J43,$K$31:$K$55,"&lt;"&amp;K43)</x:f>
        <x:v>4</x:v>
      </x:c>
      <x:c r="E43" s="36" t="n">
        <x:f>'Score Inputs'!P18</x:f>
        <x:v>4</x:v>
      </x:c>
      <x:c r="F43" s="36" t="n">
        <x:f>E43-D43</x:f>
        <x:v>0</x:v>
      </x:c>
      <x:c r="G43" s="15" t="n">
        <x:f>'Score Inputs'!D18</x:f>
        <x:v>8</x:v>
      </x:c>
      <x:c r="H43" s="15" t="n">
        <x:f>'Score Inputs'!C18</x:f>
        <x:v>8</x:v>
      </x:c>
      <x:c r="I43" s="15" t="n">
        <x:f>'Score Inputs'!E18</x:f>
        <x:v>7.5</x:v>
      </x:c>
      <x:c r="J43" s="15" t="n">
        <x:f>'Score Inputs'!N18</x:f>
        <x:v>2</x:v>
      </x:c>
      <x:c r="K43" s="15" t="n">
        <x:f>'Score Inputs'!O18</x:f>
        <x:v>7</x:v>
      </x:c>
    </x:row>
    <x:row r="44" ht="48" customHeight="1">
      <x:c r="A44" s="15" t="str">
        <x:v>Craft and credentials</x:v>
      </x:c>
      <x:c r="B44" s="15" t="str">
        <x:v>Resume Writing Group</x:v>
      </x:c>
      <x:c r="C44" s="34" t="n">
        <x:f>ROUND(SUMPRODUCT('Score Inputs'!C19:K19,Rubric!$C$28:$K$28)/Rubric!$B$8,8)</x:f>
        <x:v>59.125</x:v>
      </x:c>
      <x:c r="D44" s="36" t="n">
        <x:f>1+COUNTIF($C$31:$C$55,"&gt;"&amp;C44)+COUNTIFS($C$31:$C$55,C44,$G$31:$G$55,"&gt;"&amp;G44)+COUNTIFS($C$31:$C$55,C44,$G$31:$G$55,G44,$H$31:$H$55,"&gt;"&amp;H44)+COUNTIFS($C$31:$C$55,C44,$G$31:$G$55,G44,$H$31:$H$55,H44,$I$31:$I$55,"&gt;"&amp;I44)+COUNTIFS($C$31:$C$55,C44,$G$31:$G$55,G44,$H$31:$H$55,H44,$I$31:$I$55,I44,$J$31:$J$55,"&gt;"&amp;J44)+COUNTIFS($C$31:$C$55,C44,$G$31:$G$55,G44,$H$31:$H$55,H44,$I$31:$I$55,I44,$J$31:$J$55,J44,$K$31:$K$55,"&lt;"&amp;K44)</x:f>
        <x:v>25</x:v>
      </x:c>
      <x:c r="E44" s="36" t="n">
        <x:f>'Score Inputs'!P19</x:f>
        <x:v>25</x:v>
      </x:c>
      <x:c r="F44" s="36" t="n">
        <x:f>E44-D44</x:f>
        <x:v>0</x:v>
      </x:c>
      <x:c r="G44" s="15" t="n">
        <x:f>'Score Inputs'!D19</x:f>
        <x:v>5.5</x:v>
      </x:c>
      <x:c r="H44" s="15" t="n">
        <x:f>'Score Inputs'!C19</x:f>
        <x:v>6</x:v>
      </x:c>
      <x:c r="I44" s="15" t="n">
        <x:f>'Score Inputs'!E19</x:f>
        <x:v>6.5</x:v>
      </x:c>
      <x:c r="J44" s="15" t="n">
        <x:f>'Score Inputs'!N19</x:f>
        <x:v>2</x:v>
      </x:c>
      <x:c r="K44" s="15" t="n">
        <x:f>'Score Inputs'!O19</x:f>
        <x:v>17</x:v>
      </x:c>
    </x:row>
    <x:row r="45" ht="48" customHeight="1">
      <x:c r="A45" s="15" t="str">
        <x:v>Craft and credentials</x:v>
      </x:c>
      <x:c r="B45" s="15" t="str">
        <x:v>An Expert Resume</x:v>
      </x:c>
      <x:c r="C45" s="34" t="n">
        <x:f>ROUND(SUMPRODUCT('Score Inputs'!C20:K20,Rubric!$C$28:$K$28)/Rubric!$B$8,8)</x:f>
        <x:v>84.375</x:v>
      </x:c>
      <x:c r="D45" s="36" t="n">
        <x:f>1+COUNTIF($C$31:$C$55,"&gt;"&amp;C45)+COUNTIFS($C$31:$C$55,C45,$G$31:$G$55,"&gt;"&amp;G45)+COUNTIFS($C$31:$C$55,C45,$G$31:$G$55,G45,$H$31:$H$55,"&gt;"&amp;H45)+COUNTIFS($C$31:$C$55,C45,$G$31:$G$55,G45,$H$31:$H$55,H45,$I$31:$I$55,"&gt;"&amp;I45)+COUNTIFS($C$31:$C$55,C45,$G$31:$G$55,G45,$H$31:$H$55,H45,$I$31:$I$55,I45,$J$31:$J$55,"&gt;"&amp;J45)+COUNTIFS($C$31:$C$55,C45,$G$31:$G$55,G45,$H$31:$H$55,H45,$I$31:$I$55,I45,$J$31:$J$55,J45,$K$31:$K$55,"&lt;"&amp;K45)</x:f>
        <x:v>3</x:v>
      </x:c>
      <x:c r="E45" s="36" t="n">
        <x:f>'Score Inputs'!P20</x:f>
        <x:v>3</x:v>
      </x:c>
      <x:c r="F45" s="36" t="n">
        <x:f>E45-D45</x:f>
        <x:v>0</x:v>
      </x:c>
      <x:c r="G45" s="15" t="n">
        <x:f>'Score Inputs'!D20</x:f>
        <x:v>8.5</x:v>
      </x:c>
      <x:c r="H45" s="15" t="n">
        <x:f>'Score Inputs'!C20</x:f>
        <x:v>8.5</x:v>
      </x:c>
      <x:c r="I45" s="15" t="n">
        <x:f>'Score Inputs'!E20</x:f>
        <x:v>7.5</x:v>
      </x:c>
      <x:c r="J45" s="15" t="n">
        <x:f>'Score Inputs'!N20</x:f>
        <x:v>2</x:v>
      </x:c>
      <x:c r="K45" s="15" t="n">
        <x:f>'Score Inputs'!O20</x:f>
        <x:v>1</x:v>
      </x:c>
    </x:row>
    <x:row r="46" ht="48" customHeight="1">
      <x:c r="A46" s="15" t="str">
        <x:v>Craft and credentials</x:v>
      </x:c>
      <x:c r="B46" s="15" t="str">
        <x:v>Resume Target</x:v>
      </x:c>
      <x:c r="C46" s="34" t="n">
        <x:f>ROUND(SUMPRODUCT('Score Inputs'!C21:K21,Rubric!$C$28:$K$28)/Rubric!$B$8,8)</x:f>
        <x:v>73.875</x:v>
      </x:c>
      <x:c r="D46" s="36" t="n">
        <x:f>1+COUNTIF($C$31:$C$55,"&gt;"&amp;C46)+COUNTIFS($C$31:$C$55,C46,$G$31:$G$55,"&gt;"&amp;G46)+COUNTIFS($C$31:$C$55,C46,$G$31:$G$55,G46,$H$31:$H$55,"&gt;"&amp;H46)+COUNTIFS($C$31:$C$55,C46,$G$31:$G$55,G46,$H$31:$H$55,H46,$I$31:$I$55,"&gt;"&amp;I46)+COUNTIFS($C$31:$C$55,C46,$G$31:$G$55,G46,$H$31:$H$55,H46,$I$31:$I$55,I46,$J$31:$J$55,"&gt;"&amp;J46)+COUNTIFS($C$31:$C$55,C46,$G$31:$G$55,G46,$H$31:$H$55,H46,$I$31:$I$55,I46,$J$31:$J$55,J46,$K$31:$K$55,"&lt;"&amp;K46)</x:f>
        <x:v>21</x:v>
      </x:c>
      <x:c r="E46" s="36" t="n">
        <x:f>'Score Inputs'!P21</x:f>
        <x:v>22</x:v>
      </x:c>
      <x:c r="F46" s="36" t="n">
        <x:f>E46-D46</x:f>
        <x:v>1</x:v>
      </x:c>
      <x:c r="G46" s="15" t="n">
        <x:f>'Score Inputs'!D21</x:f>
        <x:v>6.5</x:v>
      </x:c>
      <x:c r="H46" s="15" t="n">
        <x:f>'Score Inputs'!C21</x:f>
        <x:v>7.5</x:v>
      </x:c>
      <x:c r="I46" s="15" t="n">
        <x:f>'Score Inputs'!E21</x:f>
        <x:v>8</x:v>
      </x:c>
      <x:c r="J46" s="15" t="n">
        <x:f>'Score Inputs'!N21</x:f>
        <x:v>1</x:v>
      </x:c>
      <x:c r="K46" s="15" t="n">
        <x:f>'Score Inputs'!O21</x:f>
        <x:v>16</x:v>
      </x:c>
    </x:row>
    <x:row r="47" ht="48" customHeight="1">
      <x:c r="A47" s="15" t="str">
        <x:v>Craft and credentials</x:v>
      </x:c>
      <x:c r="B47" s="15" t="str">
        <x:v>The Writing Guru</x:v>
      </x:c>
      <x:c r="C47" s="34" t="n">
        <x:f>ROUND(SUMPRODUCT('Score Inputs'!C22:K22,Rubric!$C$28:$K$28)/Rubric!$B$8,8)</x:f>
        <x:v>83.5</x:v>
      </x:c>
      <x:c r="D47" s="36" t="n">
        <x:f>1+COUNTIF($C$31:$C$55,"&gt;"&amp;C47)+COUNTIFS($C$31:$C$55,C47,$G$31:$G$55,"&gt;"&amp;G47)+COUNTIFS($C$31:$C$55,C47,$G$31:$G$55,G47,$H$31:$H$55,"&gt;"&amp;H47)+COUNTIFS($C$31:$C$55,C47,$G$31:$G$55,G47,$H$31:$H$55,H47,$I$31:$I$55,"&gt;"&amp;I47)+COUNTIFS($C$31:$C$55,C47,$G$31:$G$55,G47,$H$31:$H$55,H47,$I$31:$I$55,I47,$J$31:$J$55,"&gt;"&amp;J47)+COUNTIFS($C$31:$C$55,C47,$G$31:$G$55,G47,$H$31:$H$55,H47,$I$31:$I$55,I47,$J$31:$J$55,J47,$K$31:$K$55,"&lt;"&amp;K47)</x:f>
        <x:v>5</x:v>
      </x:c>
      <x:c r="E47" s="36" t="n">
        <x:f>'Score Inputs'!P22</x:f>
        <x:v>5</x:v>
      </x:c>
      <x:c r="F47" s="36" t="n">
        <x:f>E47-D47</x:f>
        <x:v>0</x:v>
      </x:c>
      <x:c r="G47" s="15" t="n">
        <x:f>'Score Inputs'!D22</x:f>
        <x:v>8</x:v>
      </x:c>
      <x:c r="H47" s="15" t="n">
        <x:f>'Score Inputs'!C22</x:f>
        <x:v>8</x:v>
      </x:c>
      <x:c r="I47" s="15" t="n">
        <x:f>'Score Inputs'!E22</x:f>
        <x:v>7</x:v>
      </x:c>
      <x:c r="J47" s="15" t="n">
        <x:f>'Score Inputs'!N22</x:f>
        <x:v>2</x:v>
      </x:c>
      <x:c r="K47" s="15" t="n">
        <x:f>'Score Inputs'!O22</x:f>
        <x:v>22</x:v>
      </x:c>
    </x:row>
    <x:row r="48" ht="48" customHeight="1">
      <x:c r="A48" s="15" t="str">
        <x:v>Craft and credentials</x:v>
      </x:c>
      <x:c r="B48" s="15" t="str">
        <x:v>Career Impressions</x:v>
      </x:c>
      <x:c r="C48" s="34" t="n">
        <x:f>ROUND(SUMPRODUCT('Score Inputs'!C23:K23,Rubric!$C$28:$K$28)/Rubric!$B$8,8)</x:f>
        <x:v>85</x:v>
      </x:c>
      <x:c r="D48" s="36" t="n">
        <x:f>1+COUNTIF($C$31:$C$55,"&gt;"&amp;C48)+COUNTIFS($C$31:$C$55,C48,$G$31:$G$55,"&gt;"&amp;G48)+COUNTIFS($C$31:$C$55,C48,$G$31:$G$55,G48,$H$31:$H$55,"&gt;"&amp;H48)+COUNTIFS($C$31:$C$55,C48,$G$31:$G$55,G48,$H$31:$H$55,H48,$I$31:$I$55,"&gt;"&amp;I48)+COUNTIFS($C$31:$C$55,C48,$G$31:$G$55,G48,$H$31:$H$55,H48,$I$31:$I$55,I48,$J$31:$J$55,"&gt;"&amp;J48)+COUNTIFS($C$31:$C$55,C48,$G$31:$G$55,G48,$H$31:$H$55,H48,$I$31:$I$55,I48,$J$31:$J$55,J48,$K$31:$K$55,"&lt;"&amp;K48)</x:f>
        <x:v>2</x:v>
      </x:c>
      <x:c r="E48" s="36" t="n">
        <x:f>'Score Inputs'!P23</x:f>
        <x:v>2</x:v>
      </x:c>
      <x:c r="F48" s="36" t="n">
        <x:f>E48-D48</x:f>
        <x:v>0</x:v>
      </x:c>
      <x:c r="G48" s="15" t="n">
        <x:f>'Score Inputs'!D23</x:f>
        <x:v>8</x:v>
      </x:c>
      <x:c r="H48" s="15" t="n">
        <x:f>'Score Inputs'!C23</x:f>
        <x:v>8.5</x:v>
      </x:c>
      <x:c r="I48" s="15" t="n">
        <x:f>'Score Inputs'!E23</x:f>
        <x:v>8</x:v>
      </x:c>
      <x:c r="J48" s="15" t="n">
        <x:f>'Score Inputs'!N23</x:f>
        <x:v>2</x:v>
      </x:c>
      <x:c r="K48" s="15" t="n">
        <x:f>'Score Inputs'!O23</x:f>
        <x:v>4</x:v>
      </x:c>
    </x:row>
    <x:row r="49" ht="48" customHeight="1">
      <x:c r="A49" s="15" t="str">
        <x:v>Craft and credentials</x:v>
      </x:c>
      <x:c r="B49" s="15" t="str">
        <x:v>CareerProPlus / CareerPro Global</x:v>
      </x:c>
      <x:c r="C49" s="34" t="n">
        <x:f>ROUND(SUMPRODUCT('Score Inputs'!C24:K24,Rubric!$C$28:$K$28)/Rubric!$B$8,8)</x:f>
        <x:v>77</x:v>
      </x:c>
      <x:c r="D49" s="36" t="n">
        <x:f>1+COUNTIF($C$31:$C$55,"&gt;"&amp;C49)+COUNTIFS($C$31:$C$55,C49,$G$31:$G$55,"&gt;"&amp;G49)+COUNTIFS($C$31:$C$55,C49,$G$31:$G$55,G49,$H$31:$H$55,"&gt;"&amp;H49)+COUNTIFS($C$31:$C$55,C49,$G$31:$G$55,G49,$H$31:$H$55,H49,$I$31:$I$55,"&gt;"&amp;I49)+COUNTIFS($C$31:$C$55,C49,$G$31:$G$55,G49,$H$31:$H$55,H49,$I$31:$I$55,I49,$J$31:$J$55,"&gt;"&amp;J49)+COUNTIFS($C$31:$C$55,C49,$G$31:$G$55,G49,$H$31:$H$55,H49,$I$31:$I$55,I49,$J$31:$J$55,J49,$K$31:$K$55,"&lt;"&amp;K49)</x:f>
        <x:v>18</x:v>
      </x:c>
      <x:c r="E49" s="36" t="n">
        <x:f>'Score Inputs'!P24</x:f>
        <x:v>16</x:v>
      </x:c>
      <x:c r="F49" s="36" t="n">
        <x:f>E49-D49</x:f>
        <x:v>-2</x:v>
      </x:c>
      <x:c r="G49" s="15" t="n">
        <x:f>'Score Inputs'!D24</x:f>
        <x:v>7</x:v>
      </x:c>
      <x:c r="H49" s="15" t="n">
        <x:f>'Score Inputs'!C24</x:f>
        <x:v>8</x:v>
      </x:c>
      <x:c r="I49" s="15" t="n">
        <x:f>'Score Inputs'!E24</x:f>
        <x:v>7</x:v>
      </x:c>
      <x:c r="J49" s="15" t="n">
        <x:f>'Score Inputs'!N24</x:f>
        <x:v>1</x:v>
      </x:c>
      <x:c r="K49" s="15" t="n">
        <x:f>'Score Inputs'!O24</x:f>
        <x:v>6</x:v>
      </x:c>
    </x:row>
    <x:row r="50" ht="48" customHeight="1">
      <x:c r="A50" s="15" t="str">
        <x:v>Craft and credentials</x:v>
      </x:c>
      <x:c r="B50" s="15" t="str">
        <x:v>Career Steering</x:v>
      </x:c>
      <x:c r="C50" s="34" t="n">
        <x:f>ROUND(SUMPRODUCT('Score Inputs'!C25:K25,Rubric!$C$28:$K$28)/Rubric!$B$8,8)</x:f>
        <x:v>82.25</x:v>
      </x:c>
      <x:c r="D50" s="36" t="n">
        <x:f>1+COUNTIF($C$31:$C$55,"&gt;"&amp;C50)+COUNTIFS($C$31:$C$55,C50,$G$31:$G$55,"&gt;"&amp;G50)+COUNTIFS($C$31:$C$55,C50,$G$31:$G$55,G50,$H$31:$H$55,"&gt;"&amp;H50)+COUNTIFS($C$31:$C$55,C50,$G$31:$G$55,G50,$H$31:$H$55,H50,$I$31:$I$55,"&gt;"&amp;I50)+COUNTIFS($C$31:$C$55,C50,$G$31:$G$55,G50,$H$31:$H$55,H50,$I$31:$I$55,I50,$J$31:$J$55,"&gt;"&amp;J50)+COUNTIFS($C$31:$C$55,C50,$G$31:$G$55,G50,$H$31:$H$55,H50,$I$31:$I$55,I50,$J$31:$J$55,J50,$K$31:$K$55,"&lt;"&amp;K50)</x:f>
        <x:v>6</x:v>
      </x:c>
      <x:c r="E50" s="36" t="n">
        <x:f>'Score Inputs'!P25</x:f>
        <x:v>6</x:v>
      </x:c>
      <x:c r="F50" s="36" t="n">
        <x:f>E50-D50</x:f>
        <x:v>0</x:v>
      </x:c>
      <x:c r="G50" s="15" t="n">
        <x:f>'Score Inputs'!D25</x:f>
        <x:v>8</x:v>
      </x:c>
      <x:c r="H50" s="15" t="n">
        <x:f>'Score Inputs'!C25</x:f>
        <x:v>8.5</x:v>
      </x:c>
      <x:c r="I50" s="15" t="n">
        <x:f>'Score Inputs'!E25</x:f>
        <x:v>7.5</x:v>
      </x:c>
      <x:c r="J50" s="15" t="n">
        <x:f>'Score Inputs'!N25</x:f>
        <x:v>2</x:v>
      </x:c>
      <x:c r="K50" s="15" t="n">
        <x:f>'Score Inputs'!O25</x:f>
        <x:v>5</x:v>
      </x:c>
    </x:row>
    <x:row r="51" ht="48" customHeight="1">
      <x:c r="A51" s="15" t="str">
        <x:v>Craft and credentials</x:v>
      </x:c>
      <x:c r="B51" s="15" t="str">
        <x:v>Blue Sky Resumes</x:v>
      </x:c>
      <x:c r="C51" s="34" t="n">
        <x:f>ROUND(SUMPRODUCT('Score Inputs'!C26:K26,Rubric!$C$28:$K$28)/Rubric!$B$8,8)</x:f>
        <x:v>78.875</x:v>
      </x:c>
      <x:c r="D51" s="36" t="n">
        <x:f>1+COUNTIF($C$31:$C$55,"&gt;"&amp;C51)+COUNTIFS($C$31:$C$55,C51,$G$31:$G$55,"&gt;"&amp;G51)+COUNTIFS($C$31:$C$55,C51,$G$31:$G$55,G51,$H$31:$H$55,"&gt;"&amp;H51)+COUNTIFS($C$31:$C$55,C51,$G$31:$G$55,G51,$H$31:$H$55,H51,$I$31:$I$55,"&gt;"&amp;I51)+COUNTIFS($C$31:$C$55,C51,$G$31:$G$55,G51,$H$31:$H$55,H51,$I$31:$I$55,I51,$J$31:$J$55,"&gt;"&amp;J51)+COUNTIFS($C$31:$C$55,C51,$G$31:$G$55,G51,$H$31:$H$55,H51,$I$31:$I$55,I51,$J$31:$J$55,J51,$K$31:$K$55,"&lt;"&amp;K51)</x:f>
        <x:v>15</x:v>
      </x:c>
      <x:c r="E51" s="36" t="n">
        <x:f>'Score Inputs'!P26</x:f>
        <x:v>15</x:v>
      </x:c>
      <x:c r="F51" s="36" t="n">
        <x:f>E51-D51</x:f>
        <x:v>0</x:v>
      </x:c>
      <x:c r="G51" s="15" t="n">
        <x:f>'Score Inputs'!D26</x:f>
        <x:v>7.5</x:v>
      </x:c>
      <x:c r="H51" s="15" t="n">
        <x:f>'Score Inputs'!C26</x:f>
        <x:v>7.5</x:v>
      </x:c>
      <x:c r="I51" s="15" t="n">
        <x:f>'Score Inputs'!E26</x:f>
        <x:v>8.5</x:v>
      </x:c>
      <x:c r="J51" s="15" t="n">
        <x:f>'Score Inputs'!N26</x:f>
        <x:v>1</x:v>
      </x:c>
      <x:c r="K51" s="15" t="n">
        <x:f>'Score Inputs'!O26</x:f>
        <x:v>2</x:v>
      </x:c>
    </x:row>
    <x:row r="52" ht="48" customHeight="1">
      <x:c r="A52" s="15" t="str">
        <x:v>Craft and credentials</x:v>
      </x:c>
      <x:c r="B52" s="15" t="str">
        <x:v>Briefcase Coach</x:v>
      </x:c>
      <x:c r="C52" s="34" t="n">
        <x:f>ROUND(SUMPRODUCT('Score Inputs'!C27:K27,Rubric!$C$28:$K$28)/Rubric!$B$8,8)</x:f>
        <x:v>79.625</x:v>
      </x:c>
      <x:c r="D52" s="36" t="n">
        <x:f>1+COUNTIF($C$31:$C$55,"&gt;"&amp;C52)+COUNTIFS($C$31:$C$55,C52,$G$31:$G$55,"&gt;"&amp;G52)+COUNTIFS($C$31:$C$55,C52,$G$31:$G$55,G52,$H$31:$H$55,"&gt;"&amp;H52)+COUNTIFS($C$31:$C$55,C52,$G$31:$G$55,G52,$H$31:$H$55,H52,$I$31:$I$55,"&gt;"&amp;I52)+COUNTIFS($C$31:$C$55,C52,$G$31:$G$55,G52,$H$31:$H$55,H52,$I$31:$I$55,I52,$J$31:$J$55,"&gt;"&amp;J52)+COUNTIFS($C$31:$C$55,C52,$G$31:$G$55,G52,$H$31:$H$55,H52,$I$31:$I$55,I52,$J$31:$J$55,J52,$K$31:$K$55,"&lt;"&amp;K52)</x:f>
        <x:v>14</x:v>
      </x:c>
      <x:c r="E52" s="36" t="n">
        <x:f>'Score Inputs'!P27</x:f>
        <x:v>14</x:v>
      </x:c>
      <x:c r="F52" s="36" t="n">
        <x:f>E52-D52</x:f>
        <x:v>0</x:v>
      </x:c>
      <x:c r="G52" s="15" t="n">
        <x:f>'Score Inputs'!D27</x:f>
        <x:v>7.5</x:v>
      </x:c>
      <x:c r="H52" s="15" t="n">
        <x:f>'Score Inputs'!C27</x:f>
        <x:v>8</x:v>
      </x:c>
      <x:c r="I52" s="15" t="n">
        <x:f>'Score Inputs'!E27</x:f>
        <x:v>7.5</x:v>
      </x:c>
      <x:c r="J52" s="15" t="n">
        <x:f>'Score Inputs'!N27</x:f>
        <x:v>2</x:v>
      </x:c>
      <x:c r="K52" s="15" t="n">
        <x:f>'Score Inputs'!O27</x:f>
        <x:v>3</x:v>
      </x:c>
    </x:row>
    <x:row r="53" ht="48" customHeight="1">
      <x:c r="A53" s="15" t="str">
        <x:v>Craft and credentials</x:v>
      </x:c>
      <x:c r="B53" s="15" t="str">
        <x:v>Klaxos</x:v>
      </x:c>
      <x:c r="C53" s="34" t="n">
        <x:f>ROUND(SUMPRODUCT('Score Inputs'!C28:K28,Rubric!$C$28:$K$28)/Rubric!$B$8,8)</x:f>
        <x:v>75.5</x:v>
      </x:c>
      <x:c r="D53" s="36" t="n">
        <x:f>1+COUNTIF($C$31:$C$55,"&gt;"&amp;C53)+COUNTIFS($C$31:$C$55,C53,$G$31:$G$55,"&gt;"&amp;G53)+COUNTIFS($C$31:$C$55,C53,$G$31:$G$55,G53,$H$31:$H$55,"&gt;"&amp;H53)+COUNTIFS($C$31:$C$55,C53,$G$31:$G$55,G53,$H$31:$H$55,H53,$I$31:$I$55,"&gt;"&amp;I53)+COUNTIFS($C$31:$C$55,C53,$G$31:$G$55,G53,$H$31:$H$55,H53,$I$31:$I$55,I53,$J$31:$J$55,"&gt;"&amp;J53)+COUNTIFS($C$31:$C$55,C53,$G$31:$G$55,G53,$H$31:$H$55,H53,$I$31:$I$55,I53,$J$31:$J$55,J53,$K$31:$K$55,"&lt;"&amp;K53)</x:f>
        <x:v>19</x:v>
      </x:c>
      <x:c r="E53" s="36" t="n">
        <x:f>'Score Inputs'!P28</x:f>
        <x:v>20</x:v>
      </x:c>
      <x:c r="F53" s="36" t="n">
        <x:f>E53-D53</x:f>
        <x:v>1</x:v>
      </x:c>
      <x:c r="G53" s="15" t="n">
        <x:f>'Score Inputs'!D28</x:f>
        <x:v>7</x:v>
      </x:c>
      <x:c r="H53" s="15" t="n">
        <x:f>'Score Inputs'!C28</x:f>
        <x:v>8</x:v>
      </x:c>
      <x:c r="I53" s="15" t="n">
        <x:f>'Score Inputs'!E28</x:f>
        <x:v>7.5</x:v>
      </x:c>
      <x:c r="J53" s="15" t="n">
        <x:f>'Score Inputs'!N28</x:f>
        <x:v>1</x:v>
      </x:c>
      <x:c r="K53" s="15" t="n">
        <x:f>'Score Inputs'!O28</x:f>
        <x:v>13</x:v>
      </x:c>
    </x:row>
    <x:row r="54" ht="48" customHeight="1">
      <x:c r="A54" s="15" t="str">
        <x:v>Craft and credentials</x:v>
      </x:c>
      <x:c r="B54" s="15" t="str">
        <x:v>Scientech Resumes / Scientech Career Systems</x:v>
      </x:c>
      <x:c r="C54" s="34" t="n">
        <x:f>ROUND(SUMPRODUCT('Score Inputs'!C29:K29,Rubric!$C$28:$K$28)/Rubric!$B$8,8)</x:f>
        <x:v>78.25</x:v>
      </x:c>
      <x:c r="D54" s="36" t="n">
        <x:f>1+COUNTIF($C$31:$C$55,"&gt;"&amp;C54)+COUNTIFS($C$31:$C$55,C54,$G$31:$G$55,"&gt;"&amp;G54)+COUNTIFS($C$31:$C$55,C54,$G$31:$G$55,G54,$H$31:$H$55,"&gt;"&amp;H54)+COUNTIFS($C$31:$C$55,C54,$G$31:$G$55,G54,$H$31:$H$55,H54,$I$31:$I$55,"&gt;"&amp;I54)+COUNTIFS($C$31:$C$55,C54,$G$31:$G$55,G54,$H$31:$H$55,H54,$I$31:$I$55,I54,$J$31:$J$55,"&gt;"&amp;J54)+COUNTIFS($C$31:$C$55,C54,$G$31:$G$55,G54,$H$31:$H$55,H54,$I$31:$I$55,I54,$J$31:$J$55,J54,$K$31:$K$55,"&lt;"&amp;K54)</x:f>
        <x:v>16</x:v>
      </x:c>
      <x:c r="E54" s="36" t="n">
        <x:f>'Score Inputs'!P29</x:f>
        <x:v>17</x:v>
      </x:c>
      <x:c r="F54" s="36" t="n">
        <x:f>E54-D54</x:f>
        <x:v>1</x:v>
      </x:c>
      <x:c r="G54" s="15" t="n">
        <x:f>'Score Inputs'!D29</x:f>
        <x:v>7.5</x:v>
      </x:c>
      <x:c r="H54" s="15" t="n">
        <x:f>'Score Inputs'!C29</x:f>
        <x:v>7.5</x:v>
      </x:c>
      <x:c r="I54" s="15" t="n">
        <x:f>'Score Inputs'!E29</x:f>
        <x:v>7</x:v>
      </x:c>
      <x:c r="J54" s="15" t="n">
        <x:f>'Score Inputs'!N29</x:f>
        <x:v>1</x:v>
      </x:c>
      <x:c r="K54" s="15" t="n">
        <x:f>'Score Inputs'!O29</x:f>
        <x:v>20</x:v>
      </x:c>
    </x:row>
    <x:row r="55" ht="48" customHeight="1">
      <x:c r="A55" s="15" t="str">
        <x:v>Craft and credentials</x:v>
      </x:c>
      <x:c r="B55" s="15" t="str">
        <x:v>Employment BOOST</x:v>
      </x:c>
      <x:c r="C55" s="34" t="n">
        <x:f>ROUND(SUMPRODUCT('Score Inputs'!C30:K30,Rubric!$C$28:$K$28)/Rubric!$B$8,8)</x:f>
        <x:v>80.375</x:v>
      </x:c>
      <x:c r="D55" s="36" t="n">
        <x:f>1+COUNTIF($C$31:$C$55,"&gt;"&amp;C55)+COUNTIFS($C$31:$C$55,C55,$G$31:$G$55,"&gt;"&amp;G55)+COUNTIFS($C$31:$C$55,C55,$G$31:$G$55,G55,$H$31:$H$55,"&gt;"&amp;H55)+COUNTIFS($C$31:$C$55,C55,$G$31:$G$55,G55,$H$31:$H$55,H55,$I$31:$I$55,"&gt;"&amp;I55)+COUNTIFS($C$31:$C$55,C55,$G$31:$G$55,G55,$H$31:$H$55,H55,$I$31:$I$55,I55,$J$31:$J$55,"&gt;"&amp;J55)+COUNTIFS($C$31:$C$55,C55,$G$31:$G$55,G55,$H$31:$H$55,H55,$I$31:$I$55,I55,$J$31:$J$55,J55,$K$31:$K$55,"&lt;"&amp;K55)</x:f>
        <x:v>11</x:v>
      </x:c>
      <x:c r="E55" s="36" t="n">
        <x:f>'Score Inputs'!P30</x:f>
        <x:v>9</x:v>
      </x:c>
      <x:c r="F55" s="36" t="n">
        <x:f>E55-D55</x:f>
        <x:v>-2</x:v>
      </x:c>
      <x:c r="G55" s="15" t="n">
        <x:f>'Score Inputs'!D30</x:f>
        <x:v>7.5</x:v>
      </x:c>
      <x:c r="H55" s="15" t="n">
        <x:f>'Score Inputs'!C30</x:f>
        <x:v>8.5</x:v>
      </x:c>
      <x:c r="I55" s="15" t="n">
        <x:f>'Score Inputs'!E30</x:f>
        <x:v>8</x:v>
      </x:c>
      <x:c r="J55" s="15" t="n">
        <x:f>'Score Inputs'!N30</x:f>
        <x:v>2</x:v>
      </x:c>
      <x:c r="K55" s="15" t="n">
        <x:f>'Score Inputs'!O30</x:f>
        <x:v>8</x:v>
      </x:c>
    </x:row>
    <x:row r="56" ht="48" customHeight="1">
      <x:c r="A56" s="15" t="str">
        <x:v>Customer experience</x:v>
      </x:c>
      <x:c r="B56" s="15" t="str">
        <x:v>Let’s Eat, Grandma</x:v>
      </x:c>
      <x:c r="C56" s="34" t="n">
        <x:f>ROUND(SUMPRODUCT('Score Inputs'!C6:K6,Rubric!$C$29:$K$29)/Rubric!$B$8,8)</x:f>
        <x:v>81</x:v>
      </x:c>
      <x:c r="D56" s="36" t="n">
        <x:f>1+COUNTIF($C$56:$C$80,"&gt;"&amp;C56)+COUNTIFS($C$56:$C$80,C56,$G$56:$G$80,"&gt;"&amp;G56)+COUNTIFS($C$56:$C$80,C56,$G$56:$G$80,G56,$H$56:$H$80,"&gt;"&amp;H56)+COUNTIFS($C$56:$C$80,C56,$G$56:$G$80,G56,$H$56:$H$80,H56,$I$56:$I$80,"&gt;"&amp;I56)+COUNTIFS($C$56:$C$80,C56,$G$56:$G$80,G56,$H$56:$H$80,H56,$I$56:$I$80,I56,$J$56:$J$80,"&gt;"&amp;J56)+COUNTIFS($C$56:$C$80,C56,$G$56:$G$80,G56,$H$56:$H$80,H56,$I$56:$I$80,I56,$J$56:$J$80,J56,$K$56:$K$80,"&lt;"&amp;K56)</x:f>
        <x:v>10</x:v>
      </x:c>
      <x:c r="E56" s="36" t="n">
        <x:f>'Score Inputs'!P6</x:f>
        <x:v>13</x:v>
      </x:c>
      <x:c r="F56" s="36" t="n">
        <x:f>E56-D56</x:f>
        <x:v>3</x:v>
      </x:c>
      <x:c r="G56" s="15" t="n">
        <x:f>'Score Inputs'!D6</x:f>
        <x:v>8</x:v>
      </x:c>
      <x:c r="H56" s="15" t="n">
        <x:f>'Score Inputs'!C6</x:f>
        <x:v>8.5</x:v>
      </x:c>
      <x:c r="I56" s="15" t="n">
        <x:f>'Score Inputs'!E6</x:f>
        <x:v>8.5</x:v>
      </x:c>
      <x:c r="J56" s="15" t="n">
        <x:f>'Score Inputs'!N6</x:f>
        <x:v>2</x:v>
      </x:c>
      <x:c r="K56" s="15" t="n">
        <x:f>'Score Inputs'!O6</x:f>
        <x:v>14</x:v>
      </x:c>
    </x:row>
    <x:row r="57" ht="48" customHeight="1">
      <x:c r="A57" s="15" t="str">
        <x:v>Customer experience</x:v>
      </x:c>
      <x:c r="B57" s="15" t="str">
        <x:v>Find My Profession</x:v>
      </x:c>
      <x:c r="C57" s="34" t="n">
        <x:f>ROUND(SUMPRODUCT('Score Inputs'!C7:K7,Rubric!$C$29:$K$29)/Rubric!$B$8,8)</x:f>
        <x:v>81.25</x:v>
      </x:c>
      <x:c r="D57" s="36" t="n">
        <x:f>1+COUNTIF($C$56:$C$80,"&gt;"&amp;C57)+COUNTIFS($C$56:$C$80,C57,$G$56:$G$80,"&gt;"&amp;G57)+COUNTIFS($C$56:$C$80,C57,$G$56:$G$80,G57,$H$56:$H$80,"&gt;"&amp;H57)+COUNTIFS($C$56:$C$80,C57,$G$56:$G$80,G57,$H$56:$H$80,H57,$I$56:$I$80,"&gt;"&amp;I57)+COUNTIFS($C$56:$C$80,C57,$G$56:$G$80,G57,$H$56:$H$80,H57,$I$56:$I$80,I57,$J$56:$J$80,"&gt;"&amp;J57)+COUNTIFS($C$56:$C$80,C57,$G$56:$G$80,G57,$H$56:$H$80,H57,$I$56:$I$80,I57,$J$56:$J$80,J57,$K$56:$K$80,"&lt;"&amp;K57)</x:f>
        <x:v>8</x:v>
      </x:c>
      <x:c r="E57" s="36" t="n">
        <x:f>'Score Inputs'!P7</x:f>
        <x:v>8</x:v>
      </x:c>
      <x:c r="F57" s="36" t="n">
        <x:f>E57-D57</x:f>
        <x:v>0</x:v>
      </x:c>
      <x:c r="G57" s="15" t="n">
        <x:f>'Score Inputs'!D7</x:f>
        <x:v>7.5</x:v>
      </x:c>
      <x:c r="H57" s="15" t="n">
        <x:f>'Score Inputs'!C7</x:f>
        <x:v>8.5</x:v>
      </x:c>
      <x:c r="I57" s="15" t="n">
        <x:f>'Score Inputs'!E7</x:f>
        <x:v>8</x:v>
      </x:c>
      <x:c r="J57" s="15" t="n">
        <x:f>'Score Inputs'!N7</x:f>
        <x:v>2</x:v>
      </x:c>
      <x:c r="K57" s="15" t="n">
        <x:f>'Score Inputs'!O7</x:f>
        <x:v>9</x:v>
      </x:c>
    </x:row>
    <x:row r="58" ht="48" customHeight="1">
      <x:c r="A58" s="15" t="str">
        <x:v>Customer experience</x:v>
      </x:c>
      <x:c r="B58" s="15" t="str">
        <x:v>TopStack Resume</x:v>
      </x:c>
      <x:c r="C58" s="34" t="n">
        <x:f>ROUND(SUMPRODUCT('Score Inputs'!C8:K8,Rubric!$C$29:$K$29)/Rubric!$B$8,8)</x:f>
        <x:v>77.625</x:v>
      </x:c>
      <x:c r="D58" s="36" t="n">
        <x:f>1+COUNTIF($C$56:$C$80,"&gt;"&amp;C58)+COUNTIFS($C$56:$C$80,C58,$G$56:$G$80,"&gt;"&amp;G58)+COUNTIFS($C$56:$C$80,C58,$G$56:$G$80,G58,$H$56:$H$80,"&gt;"&amp;H58)+COUNTIFS($C$56:$C$80,C58,$G$56:$G$80,G58,$H$56:$H$80,H58,$I$56:$I$80,"&gt;"&amp;I58)+COUNTIFS($C$56:$C$80,C58,$G$56:$G$80,G58,$H$56:$H$80,H58,$I$56:$I$80,I58,$J$56:$J$80,"&gt;"&amp;J58)+COUNTIFS($C$56:$C$80,C58,$G$56:$G$80,G58,$H$56:$H$80,H58,$I$56:$I$80,I58,$J$56:$J$80,J58,$K$56:$K$80,"&lt;"&amp;K58)</x:f>
        <x:v>16</x:v>
      </x:c>
      <x:c r="E58" s="36" t="n">
        <x:f>'Score Inputs'!P8</x:f>
        <x:v>18</x:v>
      </x:c>
      <x:c r="F58" s="36" t="n">
        <x:f>E58-D58</x:f>
        <x:v>2</x:v>
      </x:c>
      <x:c r="G58" s="15" t="n">
        <x:f>'Score Inputs'!D8</x:f>
        <x:v>7</x:v>
      </x:c>
      <x:c r="H58" s="15" t="n">
        <x:f>'Score Inputs'!C8</x:f>
        <x:v>8.5</x:v>
      </x:c>
      <x:c r="I58" s="15" t="n">
        <x:f>'Score Inputs'!E8</x:f>
        <x:v>9</x:v>
      </x:c>
      <x:c r="J58" s="15" t="n">
        <x:f>'Score Inputs'!N8</x:f>
        <x:v>2</x:v>
      </x:c>
      <x:c r="K58" s="15" t="n">
        <x:f>'Score Inputs'!O8</x:f>
        <x:v>24</x:v>
      </x:c>
    </x:row>
    <x:row r="59" ht="48" customHeight="1">
      <x:c r="A59" s="15" t="str">
        <x:v>Customer experience</x:v>
      </x:c>
      <x:c r="B59" s="15" t="str">
        <x:v>Resumeble</x:v>
      </x:c>
      <x:c r="C59" s="34" t="n">
        <x:f>ROUND(SUMPRODUCT('Score Inputs'!C9:K9,Rubric!$C$29:$K$29)/Rubric!$B$8,8)</x:f>
        <x:v>75.125</x:v>
      </x:c>
      <x:c r="D59" s="36" t="n">
        <x:f>1+COUNTIF($C$56:$C$80,"&gt;"&amp;C59)+COUNTIFS($C$56:$C$80,C59,$G$56:$G$80,"&gt;"&amp;G59)+COUNTIFS($C$56:$C$80,C59,$G$56:$G$80,G59,$H$56:$H$80,"&gt;"&amp;H59)+COUNTIFS($C$56:$C$80,C59,$G$56:$G$80,G59,$H$56:$H$80,H59,$I$56:$I$80,"&gt;"&amp;I59)+COUNTIFS($C$56:$C$80,C59,$G$56:$G$80,G59,$H$56:$H$80,H59,$I$56:$I$80,I59,$J$56:$J$80,"&gt;"&amp;J59)+COUNTIFS($C$56:$C$80,C59,$G$56:$G$80,G59,$H$56:$H$80,H59,$I$56:$I$80,I59,$J$56:$J$80,J59,$K$56:$K$80,"&lt;"&amp;K59)</x:f>
        <x:v>20</x:v>
      </x:c>
      <x:c r="E59" s="36" t="n">
        <x:f>'Score Inputs'!P9</x:f>
        <x:v>21</x:v>
      </x:c>
      <x:c r="F59" s="36" t="n">
        <x:f>E59-D59</x:f>
        <x:v>1</x:v>
      </x:c>
      <x:c r="G59" s="15" t="n">
        <x:f>'Score Inputs'!D9</x:f>
        <x:v>7</x:v>
      </x:c>
      <x:c r="H59" s="15" t="n">
        <x:f>'Score Inputs'!C9</x:f>
        <x:v>8</x:v>
      </x:c>
      <x:c r="I59" s="15" t="n">
        <x:f>'Score Inputs'!E9</x:f>
        <x:v>8.5</x:v>
      </x:c>
      <x:c r="J59" s="15" t="n">
        <x:f>'Score Inputs'!N9</x:f>
        <x:v>2</x:v>
      </x:c>
      <x:c r="K59" s="15" t="n">
        <x:f>'Score Inputs'!O9</x:f>
        <x:v>19</x:v>
      </x:c>
    </x:row>
    <x:row r="60" ht="48" customHeight="1">
      <x:c r="A60" s="15" t="str">
        <x:v>Customer experience</x:v>
      </x:c>
      <x:c r="B60" s="15" t="str">
        <x:v>ResumeSpice</x:v>
      </x:c>
      <x:c r="C60" s="34" t="n">
        <x:f>ROUND(SUMPRODUCT('Score Inputs'!C10:K10,Rubric!$C$29:$K$29)/Rubric!$B$8,8)</x:f>
        <x:v>83.5</x:v>
      </x:c>
      <x:c r="D60" s="36" t="n">
        <x:f>1+COUNTIF($C$56:$C$80,"&gt;"&amp;C60)+COUNTIFS($C$56:$C$80,C60,$G$56:$G$80,"&gt;"&amp;G60)+COUNTIFS($C$56:$C$80,C60,$G$56:$G$80,G60,$H$56:$H$80,"&gt;"&amp;H60)+COUNTIFS($C$56:$C$80,C60,$G$56:$G$80,G60,$H$56:$H$80,H60,$I$56:$I$80,"&gt;"&amp;I60)+COUNTIFS($C$56:$C$80,C60,$G$56:$G$80,G60,$H$56:$H$80,H60,$I$56:$I$80,I60,$J$56:$J$80,"&gt;"&amp;J60)+COUNTIFS($C$56:$C$80,C60,$G$56:$G$80,G60,$H$56:$H$80,H60,$I$56:$I$80,I60,$J$56:$J$80,J60,$K$56:$K$80,"&lt;"&amp;K60)</x:f>
        <x:v>4</x:v>
      </x:c>
      <x:c r="E60" s="36" t="n">
        <x:f>'Score Inputs'!P10</x:f>
        <x:v>7</x:v>
      </x:c>
      <x:c r="F60" s="36" t="n">
        <x:f>E60-D60</x:f>
        <x:v>3</x:v>
      </x:c>
      <x:c r="G60" s="15" t="n">
        <x:f>'Score Inputs'!D10</x:f>
        <x:v>8</x:v>
      </x:c>
      <x:c r="H60" s="15" t="n">
        <x:f>'Score Inputs'!C10</x:f>
        <x:v>9</x:v>
      </x:c>
      <x:c r="I60" s="15" t="n">
        <x:f>'Score Inputs'!E10</x:f>
        <x:v>8</x:v>
      </x:c>
      <x:c r="J60" s="15" t="n">
        <x:f>'Score Inputs'!N10</x:f>
        <x:v>2</x:v>
      </x:c>
      <x:c r="K60" s="15" t="n">
        <x:f>'Score Inputs'!O10</x:f>
        <x:v>18</x:v>
      </x:c>
    </x:row>
    <x:row r="61" ht="48" customHeight="1">
      <x:c r="A61" s="15" t="str">
        <x:v>Customer experience</x:v>
      </x:c>
      <x:c r="B61" s="15" t="str">
        <x:v>Great Resumes Fast</x:v>
      </x:c>
      <x:c r="C61" s="34" t="n">
        <x:f>ROUND(SUMPRODUCT('Score Inputs'!C11:K11,Rubric!$C$29:$K$29)/Rubric!$B$8,8)</x:f>
        <x:v>80.125</x:v>
      </x:c>
      <x:c r="D61" s="36" t="n">
        <x:f>1+COUNTIF($C$56:$C$80,"&gt;"&amp;C61)+COUNTIFS($C$56:$C$80,C61,$G$56:$G$80,"&gt;"&amp;G61)+COUNTIFS($C$56:$C$80,C61,$G$56:$G$80,G61,$H$56:$H$80,"&gt;"&amp;H61)+COUNTIFS($C$56:$C$80,C61,$G$56:$G$80,G61,$H$56:$H$80,H61,$I$56:$I$80,"&gt;"&amp;I61)+COUNTIFS($C$56:$C$80,C61,$G$56:$G$80,G61,$H$56:$H$80,H61,$I$56:$I$80,I61,$J$56:$J$80,"&gt;"&amp;J61)+COUNTIFS($C$56:$C$80,C61,$G$56:$G$80,G61,$H$56:$H$80,H61,$I$56:$I$80,I61,$J$56:$J$80,J61,$K$56:$K$80,"&lt;"&amp;K61)</x:f>
        <x:v>12</x:v>
      </x:c>
      <x:c r="E61" s="36" t="n">
        <x:f>'Score Inputs'!P11</x:f>
        <x:v>11</x:v>
      </x:c>
      <x:c r="F61" s="36" t="n">
        <x:f>E61-D61</x:f>
        <x:v>-1</x:v>
      </x:c>
      <x:c r="G61" s="15" t="n">
        <x:f>'Score Inputs'!D11</x:f>
        <x:v>7.5</x:v>
      </x:c>
      <x:c r="H61" s="15" t="n">
        <x:f>'Score Inputs'!C11</x:f>
        <x:v>8</x:v>
      </x:c>
      <x:c r="I61" s="15" t="n">
        <x:f>'Score Inputs'!E11</x:f>
        <x:v>8</x:v>
      </x:c>
      <x:c r="J61" s="15" t="n">
        <x:f>'Score Inputs'!N11</x:f>
        <x:v>2</x:v>
      </x:c>
      <x:c r="K61" s="15" t="n">
        <x:f>'Score Inputs'!O11</x:f>
        <x:v>10</x:v>
      </x:c>
    </x:row>
    <x:row r="62" ht="48" customHeight="1">
      <x:c r="A62" s="15" t="str">
        <x:v>Customer experience</x:v>
      </x:c>
      <x:c r="B62" s="15" t="str">
        <x:v>TopResume</x:v>
      </x:c>
      <x:c r="C62" s="34" t="n">
        <x:f>ROUND(SUMPRODUCT('Score Inputs'!C12:K12,Rubric!$C$29:$K$29)/Rubric!$B$8,8)</x:f>
        <x:v>62.75</x:v>
      </x:c>
      <x:c r="D62" s="36" t="n">
        <x:f>1+COUNTIF($C$56:$C$80,"&gt;"&amp;C62)+COUNTIFS($C$56:$C$80,C62,$G$56:$G$80,"&gt;"&amp;G62)+COUNTIFS($C$56:$C$80,C62,$G$56:$G$80,G62,$H$56:$H$80,"&gt;"&amp;H62)+COUNTIFS($C$56:$C$80,C62,$G$56:$G$80,G62,$H$56:$H$80,H62,$I$56:$I$80,"&gt;"&amp;I62)+COUNTIFS($C$56:$C$80,C62,$G$56:$G$80,G62,$H$56:$H$80,H62,$I$56:$I$80,I62,$J$56:$J$80,"&gt;"&amp;J62)+COUNTIFS($C$56:$C$80,C62,$G$56:$G$80,G62,$H$56:$H$80,H62,$I$56:$I$80,I62,$J$56:$J$80,J62,$K$56:$K$80,"&lt;"&amp;K62)</x:f>
        <x:v>24</x:v>
      </x:c>
      <x:c r="E62" s="36" t="n">
        <x:f>'Score Inputs'!P12</x:f>
        <x:v>24</x:v>
      </x:c>
      <x:c r="F62" s="36" t="n">
        <x:f>E62-D62</x:f>
        <x:v>0</x:v>
      </x:c>
      <x:c r="G62" s="15" t="n">
        <x:f>'Score Inputs'!D12</x:f>
        <x:v>7</x:v>
      </x:c>
      <x:c r="H62" s="15" t="n">
        <x:f>'Score Inputs'!C12</x:f>
        <x:v>6.5</x:v>
      </x:c>
      <x:c r="I62" s="15" t="n">
        <x:f>'Score Inputs'!E12</x:f>
        <x:v>6.5</x:v>
      </x:c>
      <x:c r="J62" s="15" t="n">
        <x:f>'Score Inputs'!N12</x:f>
        <x:v>2</x:v>
      </x:c>
      <x:c r="K62" s="15" t="n">
        <x:f>'Score Inputs'!O12</x:f>
        <x:v>23</x:v>
      </x:c>
    </x:row>
    <x:row r="63" ht="48" customHeight="1">
      <x:c r="A63" s="15" t="str">
        <x:v>Customer experience</x:v>
      </x:c>
      <x:c r="B63" s="15" t="str">
        <x:v>The Resume Place</x:v>
      </x:c>
      <x:c r="C63" s="34" t="n">
        <x:f>ROUND(SUMPRODUCT('Score Inputs'!C13:K13,Rubric!$C$29:$K$29)/Rubric!$B$8,8)</x:f>
        <x:v>74.875</x:v>
      </x:c>
      <x:c r="D63" s="36" t="n">
        <x:f>1+COUNTIF($C$56:$C$80,"&gt;"&amp;C63)+COUNTIFS($C$56:$C$80,C63,$G$56:$G$80,"&gt;"&amp;G63)+COUNTIFS($C$56:$C$80,C63,$G$56:$G$80,G63,$H$56:$H$80,"&gt;"&amp;H63)+COUNTIFS($C$56:$C$80,C63,$G$56:$G$80,G63,$H$56:$H$80,H63,$I$56:$I$80,"&gt;"&amp;I63)+COUNTIFS($C$56:$C$80,C63,$G$56:$G$80,G63,$H$56:$H$80,H63,$I$56:$I$80,I63,$J$56:$J$80,"&gt;"&amp;J63)+COUNTIFS($C$56:$C$80,C63,$G$56:$G$80,G63,$H$56:$H$80,H63,$I$56:$I$80,I63,$J$56:$J$80,J63,$K$56:$K$80,"&lt;"&amp;K63)</x:f>
        <x:v>21</x:v>
      </x:c>
      <x:c r="E63" s="36" t="n">
        <x:f>'Score Inputs'!P13</x:f>
        <x:v>19</x:v>
      </x:c>
      <x:c r="F63" s="36" t="n">
        <x:f>E63-D63</x:f>
        <x:v>-2</x:v>
      </x:c>
      <x:c r="G63" s="15" t="n">
        <x:f>'Score Inputs'!D13</x:f>
        <x:v>7</x:v>
      </x:c>
      <x:c r="H63" s="15" t="n">
        <x:f>'Score Inputs'!C13</x:f>
        <x:v>7</x:v>
      </x:c>
      <x:c r="I63" s="15" t="n">
        <x:f>'Score Inputs'!E13</x:f>
        <x:v>7</x:v>
      </x:c>
      <x:c r="J63" s="15" t="n">
        <x:f>'Score Inputs'!N13</x:f>
        <x:v>1</x:v>
      </x:c>
      <x:c r="K63" s="15" t="n">
        <x:f>'Score Inputs'!O13</x:f>
        <x:v>21</x:v>
      </x:c>
    </x:row>
    <x:row r="64" ht="48" customHeight="1">
      <x:c r="A64" s="15" t="str">
        <x:v>Customer experience</x:v>
      </x:c>
      <x:c r="B64" s="15" t="str">
        <x:v>Ivy League Résumés</x:v>
      </x:c>
      <x:c r="C64" s="34" t="n">
        <x:f>ROUND(SUMPRODUCT('Score Inputs'!C14:K14,Rubric!$C$29:$K$29)/Rubric!$B$8,8)</x:f>
        <x:v>88.5</x:v>
      </x:c>
      <x:c r="D64" s="36" t="n">
        <x:f>1+COUNTIF($C$56:$C$80,"&gt;"&amp;C64)+COUNTIFS($C$56:$C$80,C64,$G$56:$G$80,"&gt;"&amp;G64)+COUNTIFS($C$56:$C$80,C64,$G$56:$G$80,G64,$H$56:$H$80,"&gt;"&amp;H64)+COUNTIFS($C$56:$C$80,C64,$G$56:$G$80,G64,$H$56:$H$80,H64,$I$56:$I$80,"&gt;"&amp;I64)+COUNTIFS($C$56:$C$80,C64,$G$56:$G$80,G64,$H$56:$H$80,H64,$I$56:$I$80,I64,$J$56:$J$80,"&gt;"&amp;J64)+COUNTIFS($C$56:$C$80,C64,$G$56:$G$80,G64,$H$56:$H$80,H64,$I$56:$I$80,I64,$J$56:$J$80,J64,$K$56:$K$80,"&lt;"&amp;K64)</x:f>
        <x:v>1</x:v>
      </x:c>
      <x:c r="E64" s="36" t="n">
        <x:f>'Score Inputs'!P14</x:f>
        <x:v>1</x:v>
      </x:c>
      <x:c r="F64" s="36" t="n">
        <x:f>E64-D64</x:f>
        <x:v>0</x:v>
      </x:c>
      <x:c r="G64" s="15" t="n">
        <x:f>'Score Inputs'!D14</x:f>
        <x:v>8.5</x:v>
      </x:c>
      <x:c r="H64" s="15" t="n">
        <x:f>'Score Inputs'!C14</x:f>
        <x:v>9</x:v>
      </x:c>
      <x:c r="I64" s="15" t="n">
        <x:f>'Score Inputs'!E14</x:f>
        <x:v>9</x:v>
      </x:c>
      <x:c r="J64" s="15" t="n">
        <x:f>'Score Inputs'!N14</x:f>
        <x:v>2</x:v>
      </x:c>
      <x:c r="K64" s="15" t="n">
        <x:f>'Score Inputs'!O14</x:f>
        <x:v>11</x:v>
      </x:c>
    </x:row>
    <x:row r="65" ht="48" customHeight="1">
      <x:c r="A65" s="15" t="str">
        <x:v>Customer experience</x:v>
      </x:c>
      <x:c r="B65" s="15" t="str">
        <x:v>JobStars USA</x:v>
      </x:c>
      <x:c r="C65" s="34" t="n">
        <x:f>ROUND(SUMPRODUCT('Score Inputs'!C15:K15,Rubric!$C$29:$K$29)/Rubric!$B$8,8)</x:f>
        <x:v>81.125</x:v>
      </x:c>
      <x:c r="D65" s="36" t="n">
        <x:f>1+COUNTIF($C$56:$C$80,"&gt;"&amp;C65)+COUNTIFS($C$56:$C$80,C65,$G$56:$G$80,"&gt;"&amp;G65)+COUNTIFS($C$56:$C$80,C65,$G$56:$G$80,G65,$H$56:$H$80,"&gt;"&amp;H65)+COUNTIFS($C$56:$C$80,C65,$G$56:$G$80,G65,$H$56:$H$80,H65,$I$56:$I$80,"&gt;"&amp;I65)+COUNTIFS($C$56:$C$80,C65,$G$56:$G$80,G65,$H$56:$H$80,H65,$I$56:$I$80,I65,$J$56:$J$80,"&gt;"&amp;J65)+COUNTIFS($C$56:$C$80,C65,$G$56:$G$80,G65,$H$56:$H$80,H65,$I$56:$I$80,I65,$J$56:$J$80,J65,$K$56:$K$80,"&lt;"&amp;K65)</x:f>
        <x:v>9</x:v>
      </x:c>
      <x:c r="E65" s="36" t="n">
        <x:f>'Score Inputs'!P15</x:f>
        <x:v>10</x:v>
      </x:c>
      <x:c r="F65" s="36" t="n">
        <x:f>E65-D65</x:f>
        <x:v>1</x:v>
      </x:c>
      <x:c r="G65" s="15" t="n">
        <x:f>'Score Inputs'!D15</x:f>
        <x:v>7.5</x:v>
      </x:c>
      <x:c r="H65" s="15" t="n">
        <x:f>'Score Inputs'!C15</x:f>
        <x:v>8.5</x:v>
      </x:c>
      <x:c r="I65" s="15" t="n">
        <x:f>'Score Inputs'!E15</x:f>
        <x:v>8</x:v>
      </x:c>
      <x:c r="J65" s="15" t="n">
        <x:f>'Score Inputs'!N15</x:f>
        <x:v>2</x:v>
      </x:c>
      <x:c r="K65" s="15" t="n">
        <x:f>'Score Inputs'!O15</x:f>
        <x:v>12</x:v>
      </x:c>
    </x:row>
    <x:row r="66" ht="48" customHeight="1">
      <x:c r="A66" s="15" t="str">
        <x:v>Customer experience</x:v>
      </x:c>
      <x:c r="B66" s="15" t="str">
        <x:v>Resume Professional Writers</x:v>
      </x:c>
      <x:c r="C66" s="34" t="n">
        <x:f>ROUND(SUMPRODUCT('Score Inputs'!C16:K16,Rubric!$C$29:$K$29)/Rubric!$B$8,8)</x:f>
        <x:v>64.5</x:v>
      </x:c>
      <x:c r="D66" s="36" t="n">
        <x:f>1+COUNTIF($C$56:$C$80,"&gt;"&amp;C66)+COUNTIFS($C$56:$C$80,C66,$G$56:$G$80,"&gt;"&amp;G66)+COUNTIFS($C$56:$C$80,C66,$G$56:$G$80,G66,$H$56:$H$80,"&gt;"&amp;H66)+COUNTIFS($C$56:$C$80,C66,$G$56:$G$80,G66,$H$56:$H$80,H66,$I$56:$I$80,"&gt;"&amp;I66)+COUNTIFS($C$56:$C$80,C66,$G$56:$G$80,G66,$H$56:$H$80,H66,$I$56:$I$80,I66,$J$56:$J$80,"&gt;"&amp;J66)+COUNTIFS($C$56:$C$80,C66,$G$56:$G$80,G66,$H$56:$H$80,H66,$I$56:$I$80,I66,$J$56:$J$80,J66,$K$56:$K$80,"&lt;"&amp;K66)</x:f>
        <x:v>23</x:v>
      </x:c>
      <x:c r="E66" s="36" t="n">
        <x:f>'Score Inputs'!P16</x:f>
        <x:v>23</x:v>
      </x:c>
      <x:c r="F66" s="36" t="n">
        <x:f>E66-D66</x:f>
        <x:v>0</x:v>
      </x:c>
      <x:c r="G66" s="15" t="n">
        <x:f>'Score Inputs'!D16</x:f>
        <x:v>6</x:v>
      </x:c>
      <x:c r="H66" s="15" t="n">
        <x:f>'Score Inputs'!C16</x:f>
        <x:v>6.5</x:v>
      </x:c>
      <x:c r="I66" s="15" t="n">
        <x:f>'Score Inputs'!E16</x:f>
        <x:v>7.5</x:v>
      </x:c>
      <x:c r="J66" s="15" t="n">
        <x:f>'Score Inputs'!N16</x:f>
        <x:v>2</x:v>
      </x:c>
      <x:c r="K66" s="15" t="n">
        <x:f>'Score Inputs'!O16</x:f>
        <x:v>15</x:v>
      </x:c>
    </x:row>
    <x:row r="67" ht="48" customHeight="1">
      <x:c r="A67" s="15" t="str">
        <x:v>Customer experience</x:v>
      </x:c>
      <x:c r="B67" s="15" t="str">
        <x:v>iCareerSolutions</x:v>
      </x:c>
      <x:c r="C67" s="34" t="n">
        <x:f>ROUND(SUMPRODUCT('Score Inputs'!C17:K17,Rubric!$C$29:$K$29)/Rubric!$B$8,8)</x:f>
        <x:v>80.125</x:v>
      </x:c>
      <x:c r="D67" s="36" t="n">
        <x:f>1+COUNTIF($C$56:$C$80,"&gt;"&amp;C67)+COUNTIFS($C$56:$C$80,C67,$G$56:$G$80,"&gt;"&amp;G67)+COUNTIFS($C$56:$C$80,C67,$G$56:$G$80,G67,$H$56:$H$80,"&gt;"&amp;H67)+COUNTIFS($C$56:$C$80,C67,$G$56:$G$80,G67,$H$56:$H$80,H67,$I$56:$I$80,"&gt;"&amp;I67)+COUNTIFS($C$56:$C$80,C67,$G$56:$G$80,G67,$H$56:$H$80,H67,$I$56:$I$80,I67,$J$56:$J$80,"&gt;"&amp;J67)+COUNTIFS($C$56:$C$80,C67,$G$56:$G$80,G67,$H$56:$H$80,H67,$I$56:$I$80,I67,$J$56:$J$80,J67,$K$56:$K$80,"&lt;"&amp;K67)</x:f>
        <x:v>13</x:v>
      </x:c>
      <x:c r="E67" s="36" t="n">
        <x:f>'Score Inputs'!P17</x:f>
        <x:v>12</x:v>
      </x:c>
      <x:c r="F67" s="36" t="n">
        <x:f>E67-D67</x:f>
        <x:v>-1</x:v>
      </x:c>
      <x:c r="G67" s="15" t="n">
        <x:f>'Score Inputs'!D17</x:f>
        <x:v>7.5</x:v>
      </x:c>
      <x:c r="H67" s="15" t="n">
        <x:f>'Score Inputs'!C17</x:f>
        <x:v>8</x:v>
      </x:c>
      <x:c r="I67" s="15" t="n">
        <x:f>'Score Inputs'!E17</x:f>
        <x:v>8</x:v>
      </x:c>
      <x:c r="J67" s="15" t="n">
        <x:f>'Score Inputs'!N17</x:f>
        <x:v>2</x:v>
      </x:c>
      <x:c r="K67" s="15" t="n">
        <x:f>'Score Inputs'!O17</x:f>
        <x:v>25</x:v>
      </x:c>
    </x:row>
    <x:row r="68" ht="48" customHeight="1">
      <x:c r="A68" s="15" t="str">
        <x:v>Customer experience</x:v>
      </x:c>
      <x:c r="B68" s="15" t="str">
        <x:v>Distinctive Career Services</x:v>
      </x:c>
      <x:c r="C68" s="34" t="n">
        <x:f>ROUND(SUMPRODUCT('Score Inputs'!C18:K18,Rubric!$C$29:$K$29)/Rubric!$B$8,8)</x:f>
        <x:v>82</x:v>
      </x:c>
      <x:c r="D68" s="36" t="n">
        <x:f>1+COUNTIF($C$56:$C$80,"&gt;"&amp;C68)+COUNTIFS($C$56:$C$80,C68,$G$56:$G$80,"&gt;"&amp;G68)+COUNTIFS($C$56:$C$80,C68,$G$56:$G$80,G68,$H$56:$H$80,"&gt;"&amp;H68)+COUNTIFS($C$56:$C$80,C68,$G$56:$G$80,G68,$H$56:$H$80,H68,$I$56:$I$80,"&gt;"&amp;I68)+COUNTIFS($C$56:$C$80,C68,$G$56:$G$80,G68,$H$56:$H$80,H68,$I$56:$I$80,I68,$J$56:$J$80,"&gt;"&amp;J68)+COUNTIFS($C$56:$C$80,C68,$G$56:$G$80,G68,$H$56:$H$80,H68,$I$56:$I$80,I68,$J$56:$J$80,J68,$K$56:$K$80,"&lt;"&amp;K68)</x:f>
        <x:v>6</x:v>
      </x:c>
      <x:c r="E68" s="36" t="n">
        <x:f>'Score Inputs'!P18</x:f>
        <x:v>4</x:v>
      </x:c>
      <x:c r="F68" s="36" t="n">
        <x:f>E68-D68</x:f>
        <x:v>-2</x:v>
      </x:c>
      <x:c r="G68" s="15" t="n">
        <x:f>'Score Inputs'!D18</x:f>
        <x:v>8</x:v>
      </x:c>
      <x:c r="H68" s="15" t="n">
        <x:f>'Score Inputs'!C18</x:f>
        <x:v>8</x:v>
      </x:c>
      <x:c r="I68" s="15" t="n">
        <x:f>'Score Inputs'!E18</x:f>
        <x:v>7.5</x:v>
      </x:c>
      <x:c r="J68" s="15" t="n">
        <x:f>'Score Inputs'!N18</x:f>
        <x:v>2</x:v>
      </x:c>
      <x:c r="K68" s="15" t="n">
        <x:f>'Score Inputs'!O18</x:f>
        <x:v>7</x:v>
      </x:c>
    </x:row>
    <x:row r="69" ht="48" customHeight="1">
      <x:c r="A69" s="15" t="str">
        <x:v>Customer experience</x:v>
      </x:c>
      <x:c r="B69" s="15" t="str">
        <x:v>Resume Writing Group</x:v>
      </x:c>
      <x:c r="C69" s="34" t="n">
        <x:f>ROUND(SUMPRODUCT('Score Inputs'!C19:K19,Rubric!$C$29:$K$29)/Rubric!$B$8,8)</x:f>
        <x:v>58.875</x:v>
      </x:c>
      <x:c r="D69" s="36" t="n">
        <x:f>1+COUNTIF($C$56:$C$80,"&gt;"&amp;C69)+COUNTIFS($C$56:$C$80,C69,$G$56:$G$80,"&gt;"&amp;G69)+COUNTIFS($C$56:$C$80,C69,$G$56:$G$80,G69,$H$56:$H$80,"&gt;"&amp;H69)+COUNTIFS($C$56:$C$80,C69,$G$56:$G$80,G69,$H$56:$H$80,H69,$I$56:$I$80,"&gt;"&amp;I69)+COUNTIFS($C$56:$C$80,C69,$G$56:$G$80,G69,$H$56:$H$80,H69,$I$56:$I$80,I69,$J$56:$J$80,"&gt;"&amp;J69)+COUNTIFS($C$56:$C$80,C69,$G$56:$G$80,G69,$H$56:$H$80,H69,$I$56:$I$80,I69,$J$56:$J$80,J69,$K$56:$K$80,"&lt;"&amp;K69)</x:f>
        <x:v>25</x:v>
      </x:c>
      <x:c r="E69" s="36" t="n">
        <x:f>'Score Inputs'!P19</x:f>
        <x:v>25</x:v>
      </x:c>
      <x:c r="F69" s="36" t="n">
        <x:f>E69-D69</x:f>
        <x:v>0</x:v>
      </x:c>
      <x:c r="G69" s="15" t="n">
        <x:f>'Score Inputs'!D19</x:f>
        <x:v>5.5</x:v>
      </x:c>
      <x:c r="H69" s="15" t="n">
        <x:f>'Score Inputs'!C19</x:f>
        <x:v>6</x:v>
      </x:c>
      <x:c r="I69" s="15" t="n">
        <x:f>'Score Inputs'!E19</x:f>
        <x:v>6.5</x:v>
      </x:c>
      <x:c r="J69" s="15" t="n">
        <x:f>'Score Inputs'!N19</x:f>
        <x:v>2</x:v>
      </x:c>
      <x:c r="K69" s="15" t="n">
        <x:f>'Score Inputs'!O19</x:f>
        <x:v>17</x:v>
      </x:c>
    </x:row>
    <x:row r="70" ht="48" customHeight="1">
      <x:c r="A70" s="15" t="str">
        <x:v>Customer experience</x:v>
      </x:c>
      <x:c r="B70" s="15" t="str">
        <x:v>An Expert Resume</x:v>
      </x:c>
      <x:c r="C70" s="34" t="n">
        <x:f>ROUND(SUMPRODUCT('Score Inputs'!C20:K20,Rubric!$C$29:$K$29)/Rubric!$B$8,8)</x:f>
        <x:v>84.375</x:v>
      </x:c>
      <x:c r="D70" s="36" t="n">
        <x:f>1+COUNTIF($C$56:$C$80,"&gt;"&amp;C70)+COUNTIFS($C$56:$C$80,C70,$G$56:$G$80,"&gt;"&amp;G70)+COUNTIFS($C$56:$C$80,C70,$G$56:$G$80,G70,$H$56:$H$80,"&gt;"&amp;H70)+COUNTIFS($C$56:$C$80,C70,$G$56:$G$80,G70,$H$56:$H$80,H70,$I$56:$I$80,"&gt;"&amp;I70)+COUNTIFS($C$56:$C$80,C70,$G$56:$G$80,G70,$H$56:$H$80,H70,$I$56:$I$80,I70,$J$56:$J$80,"&gt;"&amp;J70)+COUNTIFS($C$56:$C$80,C70,$G$56:$G$80,G70,$H$56:$H$80,H70,$I$56:$I$80,I70,$J$56:$J$80,J70,$K$56:$K$80,"&lt;"&amp;K70)</x:f>
        <x:v>2</x:v>
      </x:c>
      <x:c r="E70" s="36" t="n">
        <x:f>'Score Inputs'!P20</x:f>
        <x:v>3</x:v>
      </x:c>
      <x:c r="F70" s="36" t="n">
        <x:f>E70-D70</x:f>
        <x:v>1</x:v>
      </x:c>
      <x:c r="G70" s="15" t="n">
        <x:f>'Score Inputs'!D20</x:f>
        <x:v>8.5</x:v>
      </x:c>
      <x:c r="H70" s="15" t="n">
        <x:f>'Score Inputs'!C20</x:f>
        <x:v>8.5</x:v>
      </x:c>
      <x:c r="I70" s="15" t="n">
        <x:f>'Score Inputs'!E20</x:f>
        <x:v>7.5</x:v>
      </x:c>
      <x:c r="J70" s="15" t="n">
        <x:f>'Score Inputs'!N20</x:f>
        <x:v>2</x:v>
      </x:c>
      <x:c r="K70" s="15" t="n">
        <x:f>'Score Inputs'!O20</x:f>
        <x:v>1</x:v>
      </x:c>
    </x:row>
    <x:row r="71" ht="48" customHeight="1">
      <x:c r="A71" s="15" t="str">
        <x:v>Customer experience</x:v>
      </x:c>
      <x:c r="B71" s="15" t="str">
        <x:v>Resume Target</x:v>
      </x:c>
      <x:c r="C71" s="34" t="n">
        <x:f>ROUND(SUMPRODUCT('Score Inputs'!C21:K21,Rubric!$C$29:$K$29)/Rubric!$B$8,8)</x:f>
        <x:v>73.875</x:v>
      </x:c>
      <x:c r="D71" s="36" t="n">
        <x:f>1+COUNTIF($C$56:$C$80,"&gt;"&amp;C71)+COUNTIFS($C$56:$C$80,C71,$G$56:$G$80,"&gt;"&amp;G71)+COUNTIFS($C$56:$C$80,C71,$G$56:$G$80,G71,$H$56:$H$80,"&gt;"&amp;H71)+COUNTIFS($C$56:$C$80,C71,$G$56:$G$80,G71,$H$56:$H$80,H71,$I$56:$I$80,"&gt;"&amp;I71)+COUNTIFS($C$56:$C$80,C71,$G$56:$G$80,G71,$H$56:$H$80,H71,$I$56:$I$80,I71,$J$56:$J$80,"&gt;"&amp;J71)+COUNTIFS($C$56:$C$80,C71,$G$56:$G$80,G71,$H$56:$H$80,H71,$I$56:$I$80,I71,$J$56:$J$80,J71,$K$56:$K$80,"&lt;"&amp;K71)</x:f>
        <x:v>22</x:v>
      </x:c>
      <x:c r="E71" s="36" t="n">
        <x:f>'Score Inputs'!P21</x:f>
        <x:v>22</x:v>
      </x:c>
      <x:c r="F71" s="36" t="n">
        <x:f>E71-D71</x:f>
        <x:v>0</x:v>
      </x:c>
      <x:c r="G71" s="15" t="n">
        <x:f>'Score Inputs'!D21</x:f>
        <x:v>6.5</x:v>
      </x:c>
      <x:c r="H71" s="15" t="n">
        <x:f>'Score Inputs'!C21</x:f>
        <x:v>7.5</x:v>
      </x:c>
      <x:c r="I71" s="15" t="n">
        <x:f>'Score Inputs'!E21</x:f>
        <x:v>8</x:v>
      </x:c>
      <x:c r="J71" s="15" t="n">
        <x:f>'Score Inputs'!N21</x:f>
        <x:v>1</x:v>
      </x:c>
      <x:c r="K71" s="15" t="n">
        <x:f>'Score Inputs'!O21</x:f>
        <x:v>16</x:v>
      </x:c>
    </x:row>
    <x:row r="72" ht="48" customHeight="1">
      <x:c r="A72" s="15" t="str">
        <x:v>Customer experience</x:v>
      </x:c>
      <x:c r="B72" s="15" t="str">
        <x:v>The Writing Guru</x:v>
      </x:c>
      <x:c r="C72" s="34" t="n">
        <x:f>ROUND(SUMPRODUCT('Score Inputs'!C22:K22,Rubric!$C$29:$K$29)/Rubric!$B$8,8)</x:f>
        <x:v>82</x:v>
      </x:c>
      <x:c r="D72" s="36" t="n">
        <x:f>1+COUNTIF($C$56:$C$80,"&gt;"&amp;C72)+COUNTIFS($C$56:$C$80,C72,$G$56:$G$80,"&gt;"&amp;G72)+COUNTIFS($C$56:$C$80,C72,$G$56:$G$80,G72,$H$56:$H$80,"&gt;"&amp;H72)+COUNTIFS($C$56:$C$80,C72,$G$56:$G$80,G72,$H$56:$H$80,H72,$I$56:$I$80,"&gt;"&amp;I72)+COUNTIFS($C$56:$C$80,C72,$G$56:$G$80,G72,$H$56:$H$80,H72,$I$56:$I$80,I72,$J$56:$J$80,"&gt;"&amp;J72)+COUNTIFS($C$56:$C$80,C72,$G$56:$G$80,G72,$H$56:$H$80,H72,$I$56:$I$80,I72,$J$56:$J$80,J72,$K$56:$K$80,"&lt;"&amp;K72)</x:f>
        <x:v>7</x:v>
      </x:c>
      <x:c r="E72" s="36" t="n">
        <x:f>'Score Inputs'!P22</x:f>
        <x:v>5</x:v>
      </x:c>
      <x:c r="F72" s="36" t="n">
        <x:f>E72-D72</x:f>
        <x:v>-2</x:v>
      </x:c>
      <x:c r="G72" s="15" t="n">
        <x:f>'Score Inputs'!D22</x:f>
        <x:v>8</x:v>
      </x:c>
      <x:c r="H72" s="15" t="n">
        <x:f>'Score Inputs'!C22</x:f>
        <x:v>8</x:v>
      </x:c>
      <x:c r="I72" s="15" t="n">
        <x:f>'Score Inputs'!E22</x:f>
        <x:v>7</x:v>
      </x:c>
      <x:c r="J72" s="15" t="n">
        <x:f>'Score Inputs'!N22</x:f>
        <x:v>2</x:v>
      </x:c>
      <x:c r="K72" s="15" t="n">
        <x:f>'Score Inputs'!O22</x:f>
        <x:v>22</x:v>
      </x:c>
    </x:row>
    <x:row r="73" ht="48" customHeight="1">
      <x:c r="A73" s="15" t="str">
        <x:v>Customer experience</x:v>
      </x:c>
      <x:c r="B73" s="15" t="str">
        <x:v>Career Impressions</x:v>
      </x:c>
      <x:c r="C73" s="34" t="n">
        <x:f>ROUND(SUMPRODUCT('Score Inputs'!C23:K23,Rubric!$C$29:$K$29)/Rubric!$B$8,8)</x:f>
        <x:v>84.25</x:v>
      </x:c>
      <x:c r="D73" s="36" t="n">
        <x:f>1+COUNTIF($C$56:$C$80,"&gt;"&amp;C73)+COUNTIFS($C$56:$C$80,C73,$G$56:$G$80,"&gt;"&amp;G73)+COUNTIFS($C$56:$C$80,C73,$G$56:$G$80,G73,$H$56:$H$80,"&gt;"&amp;H73)+COUNTIFS($C$56:$C$80,C73,$G$56:$G$80,G73,$H$56:$H$80,H73,$I$56:$I$80,"&gt;"&amp;I73)+COUNTIFS($C$56:$C$80,C73,$G$56:$G$80,G73,$H$56:$H$80,H73,$I$56:$I$80,I73,$J$56:$J$80,"&gt;"&amp;J73)+COUNTIFS($C$56:$C$80,C73,$G$56:$G$80,G73,$H$56:$H$80,H73,$I$56:$I$80,I73,$J$56:$J$80,J73,$K$56:$K$80,"&lt;"&amp;K73)</x:f>
        <x:v>3</x:v>
      </x:c>
      <x:c r="E73" s="36" t="n">
        <x:f>'Score Inputs'!P23</x:f>
        <x:v>2</x:v>
      </x:c>
      <x:c r="F73" s="36" t="n">
        <x:f>E73-D73</x:f>
        <x:v>-1</x:v>
      </x:c>
      <x:c r="G73" s="15" t="n">
        <x:f>'Score Inputs'!D23</x:f>
        <x:v>8</x:v>
      </x:c>
      <x:c r="H73" s="15" t="n">
        <x:f>'Score Inputs'!C23</x:f>
        <x:v>8.5</x:v>
      </x:c>
      <x:c r="I73" s="15" t="n">
        <x:f>'Score Inputs'!E23</x:f>
        <x:v>8</x:v>
      </x:c>
      <x:c r="J73" s="15" t="n">
        <x:f>'Score Inputs'!N23</x:f>
        <x:v>2</x:v>
      </x:c>
      <x:c r="K73" s="15" t="n">
        <x:f>'Score Inputs'!O23</x:f>
        <x:v>4</x:v>
      </x:c>
    </x:row>
    <x:row r="74" ht="48" customHeight="1">
      <x:c r="A74" s="15" t="str">
        <x:v>Customer experience</x:v>
      </x:c>
      <x:c r="B74" s="15" t="str">
        <x:v>CareerProPlus / CareerPro Global</x:v>
      </x:c>
      <x:c r="C74" s="34" t="n">
        <x:f>ROUND(SUMPRODUCT('Score Inputs'!C24:K24,Rubric!$C$29:$K$29)/Rubric!$B$8,8)</x:f>
        <x:v>77</x:v>
      </x:c>
      <x:c r="D74" s="36" t="n">
        <x:f>1+COUNTIF($C$56:$C$80,"&gt;"&amp;C74)+COUNTIFS($C$56:$C$80,C74,$G$56:$G$80,"&gt;"&amp;G74)+COUNTIFS($C$56:$C$80,C74,$G$56:$G$80,G74,$H$56:$H$80,"&gt;"&amp;H74)+COUNTIFS($C$56:$C$80,C74,$G$56:$G$80,G74,$H$56:$H$80,H74,$I$56:$I$80,"&gt;"&amp;I74)+COUNTIFS($C$56:$C$80,C74,$G$56:$G$80,G74,$H$56:$H$80,H74,$I$56:$I$80,I74,$J$56:$J$80,"&gt;"&amp;J74)+COUNTIFS($C$56:$C$80,C74,$G$56:$G$80,G74,$H$56:$H$80,H74,$I$56:$I$80,I74,$J$56:$J$80,J74,$K$56:$K$80,"&lt;"&amp;K74)</x:f>
        <x:v>18</x:v>
      </x:c>
      <x:c r="E74" s="36" t="n">
        <x:f>'Score Inputs'!P24</x:f>
        <x:v>16</x:v>
      </x:c>
      <x:c r="F74" s="36" t="n">
        <x:f>E74-D74</x:f>
        <x:v>-2</x:v>
      </x:c>
      <x:c r="G74" s="15" t="n">
        <x:f>'Score Inputs'!D24</x:f>
        <x:v>7</x:v>
      </x:c>
      <x:c r="H74" s="15" t="n">
        <x:f>'Score Inputs'!C24</x:f>
        <x:v>8</x:v>
      </x:c>
      <x:c r="I74" s="15" t="n">
        <x:f>'Score Inputs'!E24</x:f>
        <x:v>7</x:v>
      </x:c>
      <x:c r="J74" s="15" t="n">
        <x:f>'Score Inputs'!N24</x:f>
        <x:v>1</x:v>
      </x:c>
      <x:c r="K74" s="15" t="n">
        <x:f>'Score Inputs'!O24</x:f>
        <x:v>6</x:v>
      </x:c>
    </x:row>
    <x:row r="75" ht="48" customHeight="1">
      <x:c r="A75" s="15" t="str">
        <x:v>Customer experience</x:v>
      </x:c>
      <x:c r="B75" s="15" t="str">
        <x:v>Career Steering</x:v>
      </x:c>
      <x:c r="C75" s="34" t="n">
        <x:f>ROUND(SUMPRODUCT('Score Inputs'!C25:K25,Rubric!$C$29:$K$29)/Rubric!$B$8,8)</x:f>
        <x:v>82.5</x:v>
      </x:c>
      <x:c r="D75" s="36" t="n">
        <x:f>1+COUNTIF($C$56:$C$80,"&gt;"&amp;C75)+COUNTIFS($C$56:$C$80,C75,$G$56:$G$80,"&gt;"&amp;G75)+COUNTIFS($C$56:$C$80,C75,$G$56:$G$80,G75,$H$56:$H$80,"&gt;"&amp;H75)+COUNTIFS($C$56:$C$80,C75,$G$56:$G$80,G75,$H$56:$H$80,H75,$I$56:$I$80,"&gt;"&amp;I75)+COUNTIFS($C$56:$C$80,C75,$G$56:$G$80,G75,$H$56:$H$80,H75,$I$56:$I$80,I75,$J$56:$J$80,"&gt;"&amp;J75)+COUNTIFS($C$56:$C$80,C75,$G$56:$G$80,G75,$H$56:$H$80,H75,$I$56:$I$80,I75,$J$56:$J$80,J75,$K$56:$K$80,"&lt;"&amp;K75)</x:f>
        <x:v>5</x:v>
      </x:c>
      <x:c r="E75" s="36" t="n">
        <x:f>'Score Inputs'!P25</x:f>
        <x:v>6</x:v>
      </x:c>
      <x:c r="F75" s="36" t="n">
        <x:f>E75-D75</x:f>
        <x:v>1</x:v>
      </x:c>
      <x:c r="G75" s="15" t="n">
        <x:f>'Score Inputs'!D25</x:f>
        <x:v>8</x:v>
      </x:c>
      <x:c r="H75" s="15" t="n">
        <x:f>'Score Inputs'!C25</x:f>
        <x:v>8.5</x:v>
      </x:c>
      <x:c r="I75" s="15" t="n">
        <x:f>'Score Inputs'!E25</x:f>
        <x:v>7.5</x:v>
      </x:c>
      <x:c r="J75" s="15" t="n">
        <x:f>'Score Inputs'!N25</x:f>
        <x:v>2</x:v>
      </x:c>
      <x:c r="K75" s="15" t="n">
        <x:f>'Score Inputs'!O25</x:f>
        <x:v>5</x:v>
      </x:c>
    </x:row>
    <x:row r="76" ht="48" customHeight="1">
      <x:c r="A76" s="15" t="str">
        <x:v>Customer experience</x:v>
      </x:c>
      <x:c r="B76" s="15" t="str">
        <x:v>Blue Sky Resumes</x:v>
      </x:c>
      <x:c r="C76" s="34" t="n">
        <x:f>ROUND(SUMPRODUCT('Score Inputs'!C26:K26,Rubric!$C$29:$K$29)/Rubric!$B$8,8)</x:f>
        <x:v>78.375</x:v>
      </x:c>
      <x:c r="D76" s="36" t="n">
        <x:f>1+COUNTIF($C$56:$C$80,"&gt;"&amp;C76)+COUNTIFS($C$56:$C$80,C76,$G$56:$G$80,"&gt;"&amp;G76)+COUNTIFS($C$56:$C$80,C76,$G$56:$G$80,G76,$H$56:$H$80,"&gt;"&amp;H76)+COUNTIFS($C$56:$C$80,C76,$G$56:$G$80,G76,$H$56:$H$80,H76,$I$56:$I$80,"&gt;"&amp;I76)+COUNTIFS($C$56:$C$80,C76,$G$56:$G$80,G76,$H$56:$H$80,H76,$I$56:$I$80,I76,$J$56:$J$80,"&gt;"&amp;J76)+COUNTIFS($C$56:$C$80,C76,$G$56:$G$80,G76,$H$56:$H$80,H76,$I$56:$I$80,I76,$J$56:$J$80,J76,$K$56:$K$80,"&lt;"&amp;K76)</x:f>
        <x:v>15</x:v>
      </x:c>
      <x:c r="E76" s="36" t="n">
        <x:f>'Score Inputs'!P26</x:f>
        <x:v>15</x:v>
      </x:c>
      <x:c r="F76" s="36" t="n">
        <x:f>E76-D76</x:f>
        <x:v>0</x:v>
      </x:c>
      <x:c r="G76" s="15" t="n">
        <x:f>'Score Inputs'!D26</x:f>
        <x:v>7.5</x:v>
      </x:c>
      <x:c r="H76" s="15" t="n">
        <x:f>'Score Inputs'!C26</x:f>
        <x:v>7.5</x:v>
      </x:c>
      <x:c r="I76" s="15" t="n">
        <x:f>'Score Inputs'!E26</x:f>
        <x:v>8.5</x:v>
      </x:c>
      <x:c r="J76" s="15" t="n">
        <x:f>'Score Inputs'!N26</x:f>
        <x:v>1</x:v>
      </x:c>
      <x:c r="K76" s="15" t="n">
        <x:f>'Score Inputs'!O26</x:f>
        <x:v>2</x:v>
      </x:c>
    </x:row>
    <x:row r="77" ht="48" customHeight="1">
      <x:c r="A77" s="15" t="str">
        <x:v>Customer experience</x:v>
      </x:c>
      <x:c r="B77" s="15" t="str">
        <x:v>Briefcase Coach</x:v>
      </x:c>
      <x:c r="C77" s="34" t="n">
        <x:f>ROUND(SUMPRODUCT('Score Inputs'!C27:K27,Rubric!$C$29:$K$29)/Rubric!$B$8,8)</x:f>
        <x:v>79.375</x:v>
      </x:c>
      <x:c r="D77" s="36" t="n">
        <x:f>1+COUNTIF($C$56:$C$80,"&gt;"&amp;C77)+COUNTIFS($C$56:$C$80,C77,$G$56:$G$80,"&gt;"&amp;G77)+COUNTIFS($C$56:$C$80,C77,$G$56:$G$80,G77,$H$56:$H$80,"&gt;"&amp;H77)+COUNTIFS($C$56:$C$80,C77,$G$56:$G$80,G77,$H$56:$H$80,H77,$I$56:$I$80,"&gt;"&amp;I77)+COUNTIFS($C$56:$C$80,C77,$G$56:$G$80,G77,$H$56:$H$80,H77,$I$56:$I$80,I77,$J$56:$J$80,"&gt;"&amp;J77)+COUNTIFS($C$56:$C$80,C77,$G$56:$G$80,G77,$H$56:$H$80,H77,$I$56:$I$80,I77,$J$56:$J$80,J77,$K$56:$K$80,"&lt;"&amp;K77)</x:f>
        <x:v>14</x:v>
      </x:c>
      <x:c r="E77" s="36" t="n">
        <x:f>'Score Inputs'!P27</x:f>
        <x:v>14</x:v>
      </x:c>
      <x:c r="F77" s="36" t="n">
        <x:f>E77-D77</x:f>
        <x:v>0</x:v>
      </x:c>
      <x:c r="G77" s="15" t="n">
        <x:f>'Score Inputs'!D27</x:f>
        <x:v>7.5</x:v>
      </x:c>
      <x:c r="H77" s="15" t="n">
        <x:f>'Score Inputs'!C27</x:f>
        <x:v>8</x:v>
      </x:c>
      <x:c r="I77" s="15" t="n">
        <x:f>'Score Inputs'!E27</x:f>
        <x:v>7.5</x:v>
      </x:c>
      <x:c r="J77" s="15" t="n">
        <x:f>'Score Inputs'!N27</x:f>
        <x:v>2</x:v>
      </x:c>
      <x:c r="K77" s="15" t="n">
        <x:f>'Score Inputs'!O27</x:f>
        <x:v>3</x:v>
      </x:c>
    </x:row>
    <x:row r="78" ht="48" customHeight="1">
      <x:c r="A78" s="15" t="str">
        <x:v>Customer experience</x:v>
      </x:c>
      <x:c r="B78" s="15" t="str">
        <x:v>Klaxos</x:v>
      </x:c>
      <x:c r="C78" s="34" t="n">
        <x:f>ROUND(SUMPRODUCT('Score Inputs'!C28:K28,Rubric!$C$29:$K$29)/Rubric!$B$8,8)</x:f>
        <x:v>76</x:v>
      </x:c>
      <x:c r="D78" s="36" t="n">
        <x:f>1+COUNTIF($C$56:$C$80,"&gt;"&amp;C78)+COUNTIFS($C$56:$C$80,C78,$G$56:$G$80,"&gt;"&amp;G78)+COUNTIFS($C$56:$C$80,C78,$G$56:$G$80,G78,$H$56:$H$80,"&gt;"&amp;H78)+COUNTIFS($C$56:$C$80,C78,$G$56:$G$80,G78,$H$56:$H$80,H78,$I$56:$I$80,"&gt;"&amp;I78)+COUNTIFS($C$56:$C$80,C78,$G$56:$G$80,G78,$H$56:$H$80,H78,$I$56:$I$80,I78,$J$56:$J$80,"&gt;"&amp;J78)+COUNTIFS($C$56:$C$80,C78,$G$56:$G$80,G78,$H$56:$H$80,H78,$I$56:$I$80,I78,$J$56:$J$80,J78,$K$56:$K$80,"&lt;"&amp;K78)</x:f>
        <x:v>19</x:v>
      </x:c>
      <x:c r="E78" s="36" t="n">
        <x:f>'Score Inputs'!P28</x:f>
        <x:v>20</x:v>
      </x:c>
      <x:c r="F78" s="36" t="n">
        <x:f>E78-D78</x:f>
        <x:v>1</x:v>
      </x:c>
      <x:c r="G78" s="15" t="n">
        <x:f>'Score Inputs'!D28</x:f>
        <x:v>7</x:v>
      </x:c>
      <x:c r="H78" s="15" t="n">
        <x:f>'Score Inputs'!C28</x:f>
        <x:v>8</x:v>
      </x:c>
      <x:c r="I78" s="15" t="n">
        <x:f>'Score Inputs'!E28</x:f>
        <x:v>7.5</x:v>
      </x:c>
      <x:c r="J78" s="15" t="n">
        <x:f>'Score Inputs'!N28</x:f>
        <x:v>1</x:v>
      </x:c>
      <x:c r="K78" s="15" t="n">
        <x:f>'Score Inputs'!O28</x:f>
        <x:v>13</x:v>
      </x:c>
    </x:row>
    <x:row r="79" ht="48" customHeight="1">
      <x:c r="A79" s="15" t="str">
        <x:v>Customer experience</x:v>
      </x:c>
      <x:c r="B79" s="15" t="str">
        <x:v>Scientech Resumes / Scientech Career Systems</x:v>
      </x:c>
      <x:c r="C79" s="34" t="n">
        <x:f>ROUND(SUMPRODUCT('Score Inputs'!C29:K29,Rubric!$C$29:$K$29)/Rubric!$B$8,8)</x:f>
        <x:v>77.25</x:v>
      </x:c>
      <x:c r="D79" s="36" t="n">
        <x:f>1+COUNTIF($C$56:$C$80,"&gt;"&amp;C79)+COUNTIFS($C$56:$C$80,C79,$G$56:$G$80,"&gt;"&amp;G79)+COUNTIFS($C$56:$C$80,C79,$G$56:$G$80,G79,$H$56:$H$80,"&gt;"&amp;H79)+COUNTIFS($C$56:$C$80,C79,$G$56:$G$80,G79,$H$56:$H$80,H79,$I$56:$I$80,"&gt;"&amp;I79)+COUNTIFS($C$56:$C$80,C79,$G$56:$G$80,G79,$H$56:$H$80,H79,$I$56:$I$80,I79,$J$56:$J$80,"&gt;"&amp;J79)+COUNTIFS($C$56:$C$80,C79,$G$56:$G$80,G79,$H$56:$H$80,H79,$I$56:$I$80,I79,$J$56:$J$80,J79,$K$56:$K$80,"&lt;"&amp;K79)</x:f>
        <x:v>17</x:v>
      </x:c>
      <x:c r="E79" s="36" t="n">
        <x:f>'Score Inputs'!P29</x:f>
        <x:v>17</x:v>
      </x:c>
      <x:c r="F79" s="36" t="n">
        <x:f>E79-D79</x:f>
        <x:v>0</x:v>
      </x:c>
      <x:c r="G79" s="15" t="n">
        <x:f>'Score Inputs'!D29</x:f>
        <x:v>7.5</x:v>
      </x:c>
      <x:c r="H79" s="15" t="n">
        <x:f>'Score Inputs'!C29</x:f>
        <x:v>7.5</x:v>
      </x:c>
      <x:c r="I79" s="15" t="n">
        <x:f>'Score Inputs'!E29</x:f>
        <x:v>7</x:v>
      </x:c>
      <x:c r="J79" s="15" t="n">
        <x:f>'Score Inputs'!N29</x:f>
        <x:v>1</x:v>
      </x:c>
      <x:c r="K79" s="15" t="n">
        <x:f>'Score Inputs'!O29</x:f>
        <x:v>20</x:v>
      </x:c>
    </x:row>
    <x:row r="80" ht="48" customHeight="1">
      <x:c r="A80" s="15" t="str">
        <x:v>Customer experience</x:v>
      </x:c>
      <x:c r="B80" s="15" t="str">
        <x:v>Employment BOOST</x:v>
      </x:c>
      <x:c r="C80" s="34" t="n">
        <x:f>ROUND(SUMPRODUCT('Score Inputs'!C30:K30,Rubric!$C$29:$K$29)/Rubric!$B$8,8)</x:f>
        <x:v>80.875</x:v>
      </x:c>
      <x:c r="D80" s="36" t="n">
        <x:f>1+COUNTIF($C$56:$C$80,"&gt;"&amp;C80)+COUNTIFS($C$56:$C$80,C80,$G$56:$G$80,"&gt;"&amp;G80)+COUNTIFS($C$56:$C$80,C80,$G$56:$G$80,G80,$H$56:$H$80,"&gt;"&amp;H80)+COUNTIFS($C$56:$C$80,C80,$G$56:$G$80,G80,$H$56:$H$80,H80,$I$56:$I$80,"&gt;"&amp;I80)+COUNTIFS($C$56:$C$80,C80,$G$56:$G$80,G80,$H$56:$H$80,H80,$I$56:$I$80,I80,$J$56:$J$80,"&gt;"&amp;J80)+COUNTIFS($C$56:$C$80,C80,$G$56:$G$80,G80,$H$56:$H$80,H80,$I$56:$I$80,I80,$J$56:$J$80,J80,$K$56:$K$80,"&lt;"&amp;K80)</x:f>
        <x:v>11</x:v>
      </x:c>
      <x:c r="E80" s="36" t="n">
        <x:f>'Score Inputs'!P30</x:f>
        <x:v>9</x:v>
      </x:c>
      <x:c r="F80" s="36" t="n">
        <x:f>E80-D80</x:f>
        <x:v>-2</x:v>
      </x:c>
      <x:c r="G80" s="15" t="n">
        <x:f>'Score Inputs'!D30</x:f>
        <x:v>7.5</x:v>
      </x:c>
      <x:c r="H80" s="15" t="n">
        <x:f>'Score Inputs'!C30</x:f>
        <x:v>8.5</x:v>
      </x:c>
      <x:c r="I80" s="15" t="n">
        <x:f>'Score Inputs'!E30</x:f>
        <x:v>8</x:v>
      </x:c>
      <x:c r="J80" s="15" t="n">
        <x:f>'Score Inputs'!N30</x:f>
        <x:v>2</x:v>
      </x:c>
      <x:c r="K80" s="15" t="n">
        <x:f>'Score Inputs'!O30</x:f>
        <x:v>8</x:v>
      </x:c>
    </x:row>
    <x:row r="81" ht="48" customHeight="1">
      <x:c r="A81" s="15" t="str">
        <x:v>Budget and access</x:v>
      </x:c>
      <x:c r="B81" s="15" t="str">
        <x:v>Let’s Eat, Grandma</x:v>
      </x:c>
      <x:c r="C81" s="34" t="n">
        <x:f>ROUND(SUMPRODUCT('Score Inputs'!C6:K6,Rubric!$C$30:$K$30)/Rubric!$B$8,8)</x:f>
        <x:v>81.5</x:v>
      </x:c>
      <x:c r="D81" s="36" t="n">
        <x:f>1+COUNTIF($C$81:$C$105,"&gt;"&amp;C81)+COUNTIFS($C$81:$C$105,C81,$G$81:$G$105,"&gt;"&amp;G81)+COUNTIFS($C$81:$C$105,C81,$G$81:$G$105,G81,$H$81:$H$105,"&gt;"&amp;H81)+COUNTIFS($C$81:$C$105,C81,$G$81:$G$105,G81,$H$81:$H$105,H81,$I$81:$I$105,"&gt;"&amp;I81)+COUNTIFS($C$81:$C$105,C81,$G$81:$G$105,G81,$H$81:$H$105,H81,$I$81:$I$105,I81,$J$81:$J$105,"&gt;"&amp;J81)+COUNTIFS($C$81:$C$105,C81,$G$81:$G$105,G81,$H$81:$H$105,H81,$I$81:$I$105,I81,$J$81:$J$105,J81,$K$81:$K$105,"&lt;"&amp;K81)</x:f>
        <x:v>5</x:v>
      </x:c>
      <x:c r="E81" s="36" t="n">
        <x:f>'Score Inputs'!P6</x:f>
        <x:v>13</x:v>
      </x:c>
      <x:c r="F81" s="36" t="n">
        <x:f>E81-D81</x:f>
        <x:v>8</x:v>
      </x:c>
      <x:c r="G81" s="15" t="n">
        <x:f>'Score Inputs'!D6</x:f>
        <x:v>8</x:v>
      </x:c>
      <x:c r="H81" s="15" t="n">
        <x:f>'Score Inputs'!C6</x:f>
        <x:v>8.5</x:v>
      </x:c>
      <x:c r="I81" s="15" t="n">
        <x:f>'Score Inputs'!E6</x:f>
        <x:v>8.5</x:v>
      </x:c>
      <x:c r="J81" s="15" t="n">
        <x:f>'Score Inputs'!N6</x:f>
        <x:v>2</x:v>
      </x:c>
      <x:c r="K81" s="15" t="n">
        <x:f>'Score Inputs'!O6</x:f>
        <x:v>14</x:v>
      </x:c>
    </x:row>
    <x:row r="82" ht="48" customHeight="1">
      <x:c r="A82" s="15" t="str">
        <x:v>Budget and access</x:v>
      </x:c>
      <x:c r="B82" s="15" t="str">
        <x:v>Find My Profession</x:v>
      </x:c>
      <x:c r="C82" s="34" t="n">
        <x:f>ROUND(SUMPRODUCT('Score Inputs'!C7:K7,Rubric!$C$30:$K$30)/Rubric!$B$8,8)</x:f>
        <x:v>81.25</x:v>
      </x:c>
      <x:c r="D82" s="36" t="n">
        <x:f>1+COUNTIF($C$81:$C$105,"&gt;"&amp;C82)+COUNTIFS($C$81:$C$105,C82,$G$81:$G$105,"&gt;"&amp;G82)+COUNTIFS($C$81:$C$105,C82,$G$81:$G$105,G82,$H$81:$H$105,"&gt;"&amp;H82)+COUNTIFS($C$81:$C$105,C82,$G$81:$G$105,G82,$H$81:$H$105,H82,$I$81:$I$105,"&gt;"&amp;I82)+COUNTIFS($C$81:$C$105,C82,$G$81:$G$105,G82,$H$81:$H$105,H82,$I$81:$I$105,I82,$J$81:$J$105,"&gt;"&amp;J82)+COUNTIFS($C$81:$C$105,C82,$G$81:$G$105,G82,$H$81:$H$105,H82,$I$81:$I$105,I82,$J$81:$J$105,J82,$K$81:$K$105,"&lt;"&amp;K82)</x:f>
        <x:v>6</x:v>
      </x:c>
      <x:c r="E82" s="36" t="n">
        <x:f>'Score Inputs'!P7</x:f>
        <x:v>8</x:v>
      </x:c>
      <x:c r="F82" s="36" t="n">
        <x:f>E82-D82</x:f>
        <x:v>2</x:v>
      </x:c>
      <x:c r="G82" s="15" t="n">
        <x:f>'Score Inputs'!D7</x:f>
        <x:v>7.5</x:v>
      </x:c>
      <x:c r="H82" s="15" t="n">
        <x:f>'Score Inputs'!C7</x:f>
        <x:v>8.5</x:v>
      </x:c>
      <x:c r="I82" s="15" t="n">
        <x:f>'Score Inputs'!E7</x:f>
        <x:v>8</x:v>
      </x:c>
      <x:c r="J82" s="15" t="n">
        <x:f>'Score Inputs'!N7</x:f>
        <x:v>2</x:v>
      </x:c>
      <x:c r="K82" s="15" t="n">
        <x:f>'Score Inputs'!O7</x:f>
        <x:v>9</x:v>
      </x:c>
    </x:row>
    <x:row r="83" ht="48" customHeight="1">
      <x:c r="A83" s="15" t="str">
        <x:v>Budget and access</x:v>
      </x:c>
      <x:c r="B83" s="15" t="str">
        <x:v>TopStack Resume</x:v>
      </x:c>
      <x:c r="C83" s="34" t="n">
        <x:f>ROUND(SUMPRODUCT('Score Inputs'!C8:K8,Rubric!$C$30:$K$30)/Rubric!$B$8,8)</x:f>
        <x:v>80.125</x:v>
      </x:c>
      <x:c r="D83" s="36" t="n">
        <x:f>1+COUNTIF($C$81:$C$105,"&gt;"&amp;C83)+COUNTIFS($C$81:$C$105,C83,$G$81:$G$105,"&gt;"&amp;G83)+COUNTIFS($C$81:$C$105,C83,$G$81:$G$105,G83,$H$81:$H$105,"&gt;"&amp;H83)+COUNTIFS($C$81:$C$105,C83,$G$81:$G$105,G83,$H$81:$H$105,H83,$I$81:$I$105,"&gt;"&amp;I83)+COUNTIFS($C$81:$C$105,C83,$G$81:$G$105,G83,$H$81:$H$105,H83,$I$81:$I$105,I83,$J$81:$J$105,"&gt;"&amp;J83)+COUNTIFS($C$81:$C$105,C83,$G$81:$G$105,G83,$H$81:$H$105,H83,$I$81:$I$105,I83,$J$81:$J$105,J83,$K$81:$K$105,"&lt;"&amp;K83)</x:f>
        <x:v>14</x:v>
      </x:c>
      <x:c r="E83" s="36" t="n">
        <x:f>'Score Inputs'!P8</x:f>
        <x:v>18</x:v>
      </x:c>
      <x:c r="F83" s="36" t="n">
        <x:f>E83-D83</x:f>
        <x:v>4</x:v>
      </x:c>
      <x:c r="G83" s="15" t="n">
        <x:f>'Score Inputs'!D8</x:f>
        <x:v>7</x:v>
      </x:c>
      <x:c r="H83" s="15" t="n">
        <x:f>'Score Inputs'!C8</x:f>
        <x:v>8.5</x:v>
      </x:c>
      <x:c r="I83" s="15" t="n">
        <x:f>'Score Inputs'!E8</x:f>
        <x:v>9</x:v>
      </x:c>
      <x:c r="J83" s="15" t="n">
        <x:f>'Score Inputs'!N8</x:f>
        <x:v>2</x:v>
      </x:c>
      <x:c r="K83" s="15" t="n">
        <x:f>'Score Inputs'!O8</x:f>
        <x:v>24</x:v>
      </x:c>
    </x:row>
    <x:row r="84" ht="48" customHeight="1">
      <x:c r="A84" s="15" t="str">
        <x:v>Budget and access</x:v>
      </x:c>
      <x:c r="B84" s="15" t="str">
        <x:v>Resumeble</x:v>
      </x:c>
      <x:c r="C84" s="34" t="n">
        <x:f>ROUND(SUMPRODUCT('Score Inputs'!C9:K9,Rubric!$C$30:$K$30)/Rubric!$B$8,8)</x:f>
        <x:v>77.125</x:v>
      </x:c>
      <x:c r="D84" s="36" t="n">
        <x:f>1+COUNTIF($C$81:$C$105,"&gt;"&amp;C84)+COUNTIFS($C$81:$C$105,C84,$G$81:$G$105,"&gt;"&amp;G84)+COUNTIFS($C$81:$C$105,C84,$G$81:$G$105,G84,$H$81:$H$105,"&gt;"&amp;H84)+COUNTIFS($C$81:$C$105,C84,$G$81:$G$105,G84,$H$81:$H$105,H84,$I$81:$I$105,"&gt;"&amp;I84)+COUNTIFS($C$81:$C$105,C84,$G$81:$G$105,G84,$H$81:$H$105,H84,$I$81:$I$105,I84,$J$81:$J$105,"&gt;"&amp;J84)+COUNTIFS($C$81:$C$105,C84,$G$81:$G$105,G84,$H$81:$H$105,H84,$I$81:$I$105,I84,$J$81:$J$105,J84,$K$81:$K$105,"&lt;"&amp;K84)</x:f>
        <x:v>17</x:v>
      </x:c>
      <x:c r="E84" s="36" t="n">
        <x:f>'Score Inputs'!P9</x:f>
        <x:v>21</x:v>
      </x:c>
      <x:c r="F84" s="36" t="n">
        <x:f>E84-D84</x:f>
        <x:v>4</x:v>
      </x:c>
      <x:c r="G84" s="15" t="n">
        <x:f>'Score Inputs'!D9</x:f>
        <x:v>7</x:v>
      </x:c>
      <x:c r="H84" s="15" t="n">
        <x:f>'Score Inputs'!C9</x:f>
        <x:v>8</x:v>
      </x:c>
      <x:c r="I84" s="15" t="n">
        <x:f>'Score Inputs'!E9</x:f>
        <x:v>8.5</x:v>
      </x:c>
      <x:c r="J84" s="15" t="n">
        <x:f>'Score Inputs'!N9</x:f>
        <x:v>2</x:v>
      </x:c>
      <x:c r="K84" s="15" t="n">
        <x:f>'Score Inputs'!O9</x:f>
        <x:v>19</x:v>
      </x:c>
    </x:row>
    <x:row r="85" ht="48" customHeight="1">
      <x:c r="A85" s="15" t="str">
        <x:v>Budget and access</x:v>
      </x:c>
      <x:c r="B85" s="15" t="str">
        <x:v>ResumeSpice</x:v>
      </x:c>
      <x:c r="C85" s="34" t="n">
        <x:f>ROUND(SUMPRODUCT('Score Inputs'!C10:K10,Rubric!$C$30:$K$30)/Rubric!$B$8,8)</x:f>
        <x:v>82.5</x:v>
      </x:c>
      <x:c r="D85" s="36" t="n">
        <x:f>1+COUNTIF($C$81:$C$105,"&gt;"&amp;C85)+COUNTIFS($C$81:$C$105,C85,$G$81:$G$105,"&gt;"&amp;G85)+COUNTIFS($C$81:$C$105,C85,$G$81:$G$105,G85,$H$81:$H$105,"&gt;"&amp;H85)+COUNTIFS($C$81:$C$105,C85,$G$81:$G$105,G85,$H$81:$H$105,H85,$I$81:$I$105,"&gt;"&amp;I85)+COUNTIFS($C$81:$C$105,C85,$G$81:$G$105,G85,$H$81:$H$105,H85,$I$81:$I$105,I85,$J$81:$J$105,"&gt;"&amp;J85)+COUNTIFS($C$81:$C$105,C85,$G$81:$G$105,G85,$H$81:$H$105,H85,$I$81:$I$105,I85,$J$81:$J$105,J85,$K$81:$K$105,"&lt;"&amp;K85)</x:f>
        <x:v>3</x:v>
      </x:c>
      <x:c r="E85" s="36" t="n">
        <x:f>'Score Inputs'!P10</x:f>
        <x:v>7</x:v>
      </x:c>
      <x:c r="F85" s="36" t="n">
        <x:f>E85-D85</x:f>
        <x:v>4</x:v>
      </x:c>
      <x:c r="G85" s="15" t="n">
        <x:f>'Score Inputs'!D10</x:f>
        <x:v>8</x:v>
      </x:c>
      <x:c r="H85" s="15" t="n">
        <x:f>'Score Inputs'!C10</x:f>
        <x:v>9</x:v>
      </x:c>
      <x:c r="I85" s="15" t="n">
        <x:f>'Score Inputs'!E10</x:f>
        <x:v>8</x:v>
      </x:c>
      <x:c r="J85" s="15" t="n">
        <x:f>'Score Inputs'!N10</x:f>
        <x:v>2</x:v>
      </x:c>
      <x:c r="K85" s="15" t="n">
        <x:f>'Score Inputs'!O10</x:f>
        <x:v>18</x:v>
      </x:c>
    </x:row>
    <x:row r="86" ht="48" customHeight="1">
      <x:c r="A86" s="15" t="str">
        <x:v>Budget and access</x:v>
      </x:c>
      <x:c r="B86" s="15" t="str">
        <x:v>Great Resumes Fast</x:v>
      </x:c>
      <x:c r="C86" s="34" t="n">
        <x:f>ROUND(SUMPRODUCT('Score Inputs'!C11:K11,Rubric!$C$30:$K$30)/Rubric!$B$8,8)</x:f>
        <x:v>80.625</x:v>
      </x:c>
      <x:c r="D86" s="36" t="n">
        <x:f>1+COUNTIF($C$81:$C$105,"&gt;"&amp;C86)+COUNTIFS($C$81:$C$105,C86,$G$81:$G$105,"&gt;"&amp;G86)+COUNTIFS($C$81:$C$105,C86,$G$81:$G$105,G86,$H$81:$H$105,"&gt;"&amp;H86)+COUNTIFS($C$81:$C$105,C86,$G$81:$G$105,G86,$H$81:$H$105,H86,$I$81:$I$105,"&gt;"&amp;I86)+COUNTIFS($C$81:$C$105,C86,$G$81:$G$105,G86,$H$81:$H$105,H86,$I$81:$I$105,I86,$J$81:$J$105,"&gt;"&amp;J86)+COUNTIFS($C$81:$C$105,C86,$G$81:$G$105,G86,$H$81:$H$105,H86,$I$81:$I$105,I86,$J$81:$J$105,J86,$K$81:$K$105,"&lt;"&amp;K86)</x:f>
        <x:v>11</x:v>
      </x:c>
      <x:c r="E86" s="36" t="n">
        <x:f>'Score Inputs'!P11</x:f>
        <x:v>11</x:v>
      </x:c>
      <x:c r="F86" s="36" t="n">
        <x:f>E86-D86</x:f>
        <x:v>0</x:v>
      </x:c>
      <x:c r="G86" s="15" t="n">
        <x:f>'Score Inputs'!D11</x:f>
        <x:v>7.5</x:v>
      </x:c>
      <x:c r="H86" s="15" t="n">
        <x:f>'Score Inputs'!C11</x:f>
        <x:v>8</x:v>
      </x:c>
      <x:c r="I86" s="15" t="n">
        <x:f>'Score Inputs'!E11</x:f>
        <x:v>8</x:v>
      </x:c>
      <x:c r="J86" s="15" t="n">
        <x:f>'Score Inputs'!N11</x:f>
        <x:v>2</x:v>
      </x:c>
      <x:c r="K86" s="15" t="n">
        <x:f>'Score Inputs'!O11</x:f>
        <x:v>10</x:v>
      </x:c>
    </x:row>
    <x:row r="87" ht="48" customHeight="1">
      <x:c r="A87" s="15" t="str">
        <x:v>Budget and access</x:v>
      </x:c>
      <x:c r="B87" s="15" t="str">
        <x:v>TopResume</x:v>
      </x:c>
      <x:c r="C87" s="34" t="n">
        <x:f>ROUND(SUMPRODUCT('Score Inputs'!C12:K12,Rubric!$C$30:$K$30)/Rubric!$B$8,8)</x:f>
        <x:v>62.25</x:v>
      </x:c>
      <x:c r="D87" s="36" t="n">
        <x:f>1+COUNTIF($C$81:$C$105,"&gt;"&amp;C87)+COUNTIFS($C$81:$C$105,C87,$G$81:$G$105,"&gt;"&amp;G87)+COUNTIFS($C$81:$C$105,C87,$G$81:$G$105,G87,$H$81:$H$105,"&gt;"&amp;H87)+COUNTIFS($C$81:$C$105,C87,$G$81:$G$105,G87,$H$81:$H$105,H87,$I$81:$I$105,"&gt;"&amp;I87)+COUNTIFS($C$81:$C$105,C87,$G$81:$G$105,G87,$H$81:$H$105,H87,$I$81:$I$105,I87,$J$81:$J$105,"&gt;"&amp;J87)+COUNTIFS($C$81:$C$105,C87,$G$81:$G$105,G87,$H$81:$H$105,H87,$I$81:$I$105,I87,$J$81:$J$105,J87,$K$81:$K$105,"&lt;"&amp;K87)</x:f>
        <x:v>24</x:v>
      </x:c>
      <x:c r="E87" s="36" t="n">
        <x:f>'Score Inputs'!P12</x:f>
        <x:v>24</x:v>
      </x:c>
      <x:c r="F87" s="36" t="n">
        <x:f>E87-D87</x:f>
        <x:v>0</x:v>
      </x:c>
      <x:c r="G87" s="15" t="n">
        <x:f>'Score Inputs'!D12</x:f>
        <x:v>7</x:v>
      </x:c>
      <x:c r="H87" s="15" t="n">
        <x:f>'Score Inputs'!C12</x:f>
        <x:v>6.5</x:v>
      </x:c>
      <x:c r="I87" s="15" t="n">
        <x:f>'Score Inputs'!E12</x:f>
        <x:v>6.5</x:v>
      </x:c>
      <x:c r="J87" s="15" t="n">
        <x:f>'Score Inputs'!N12</x:f>
        <x:v>2</x:v>
      </x:c>
      <x:c r="K87" s="15" t="n">
        <x:f>'Score Inputs'!O12</x:f>
        <x:v>23</x:v>
      </x:c>
    </x:row>
    <x:row r="88" ht="48" customHeight="1">
      <x:c r="A88" s="15" t="str">
        <x:v>Budget and access</x:v>
      </x:c>
      <x:c r="B88" s="15" t="str">
        <x:v>The Resume Place</x:v>
      </x:c>
      <x:c r="C88" s="34" t="n">
        <x:f>ROUND(SUMPRODUCT('Score Inputs'!C13:K13,Rubric!$C$30:$K$30)/Rubric!$B$8,8)</x:f>
        <x:v>74.875</x:v>
      </x:c>
      <x:c r="D88" s="36" t="n">
        <x:f>1+COUNTIF($C$81:$C$105,"&gt;"&amp;C88)+COUNTIFS($C$81:$C$105,C88,$G$81:$G$105,"&gt;"&amp;G88)+COUNTIFS($C$81:$C$105,C88,$G$81:$G$105,G88,$H$81:$H$105,"&gt;"&amp;H88)+COUNTIFS($C$81:$C$105,C88,$G$81:$G$105,G88,$H$81:$H$105,H88,$I$81:$I$105,"&gt;"&amp;I88)+COUNTIFS($C$81:$C$105,C88,$G$81:$G$105,G88,$H$81:$H$105,H88,$I$81:$I$105,I88,$J$81:$J$105,"&gt;"&amp;J88)+COUNTIFS($C$81:$C$105,C88,$G$81:$G$105,G88,$H$81:$H$105,H88,$I$81:$I$105,I88,$J$81:$J$105,J88,$K$81:$K$105,"&lt;"&amp;K88)</x:f>
        <x:v>22</x:v>
      </x:c>
      <x:c r="E88" s="36" t="n">
        <x:f>'Score Inputs'!P13</x:f>
        <x:v>19</x:v>
      </x:c>
      <x:c r="F88" s="36" t="n">
        <x:f>E88-D88</x:f>
        <x:v>-3</x:v>
      </x:c>
      <x:c r="G88" s="15" t="n">
        <x:f>'Score Inputs'!D13</x:f>
        <x:v>7</x:v>
      </x:c>
      <x:c r="H88" s="15" t="n">
        <x:f>'Score Inputs'!C13</x:f>
        <x:v>7</x:v>
      </x:c>
      <x:c r="I88" s="15" t="n">
        <x:f>'Score Inputs'!E13</x:f>
        <x:v>7</x:v>
      </x:c>
      <x:c r="J88" s="15" t="n">
        <x:f>'Score Inputs'!N13</x:f>
        <x:v>1</x:v>
      </x:c>
      <x:c r="K88" s="15" t="n">
        <x:f>'Score Inputs'!O13</x:f>
        <x:v>21</x:v>
      </x:c>
    </x:row>
    <x:row r="89" ht="48" customHeight="1">
      <x:c r="A89" s="15" t="str">
        <x:v>Budget and access</x:v>
      </x:c>
      <x:c r="B89" s="15" t="str">
        <x:v>Ivy League Résumés</x:v>
      </x:c>
      <x:c r="C89" s="34" t="n">
        <x:f>ROUND(SUMPRODUCT('Score Inputs'!C14:K14,Rubric!$C$30:$K$30)/Rubric!$B$8,8)</x:f>
        <x:v>89</x:v>
      </x:c>
      <x:c r="D89" s="36" t="n">
        <x:f>1+COUNTIF($C$81:$C$105,"&gt;"&amp;C89)+COUNTIFS($C$81:$C$105,C89,$G$81:$G$105,"&gt;"&amp;G89)+COUNTIFS($C$81:$C$105,C89,$G$81:$G$105,G89,$H$81:$H$105,"&gt;"&amp;H89)+COUNTIFS($C$81:$C$105,C89,$G$81:$G$105,G89,$H$81:$H$105,H89,$I$81:$I$105,"&gt;"&amp;I89)+COUNTIFS($C$81:$C$105,C89,$G$81:$G$105,G89,$H$81:$H$105,H89,$I$81:$I$105,I89,$J$81:$J$105,"&gt;"&amp;J89)+COUNTIFS($C$81:$C$105,C89,$G$81:$G$105,G89,$H$81:$H$105,H89,$I$81:$I$105,I89,$J$81:$J$105,J89,$K$81:$K$105,"&lt;"&amp;K89)</x:f>
        <x:v>1</x:v>
      </x:c>
      <x:c r="E89" s="36" t="n">
        <x:f>'Score Inputs'!P14</x:f>
        <x:v>1</x:v>
      </x:c>
      <x:c r="F89" s="36" t="n">
        <x:f>E89-D89</x:f>
        <x:v>0</x:v>
      </x:c>
      <x:c r="G89" s="15" t="n">
        <x:f>'Score Inputs'!D14</x:f>
        <x:v>8.5</x:v>
      </x:c>
      <x:c r="H89" s="15" t="n">
        <x:f>'Score Inputs'!C14</x:f>
        <x:v>9</x:v>
      </x:c>
      <x:c r="I89" s="15" t="n">
        <x:f>'Score Inputs'!E14</x:f>
        <x:v>9</x:v>
      </x:c>
      <x:c r="J89" s="15" t="n">
        <x:f>'Score Inputs'!N14</x:f>
        <x:v>2</x:v>
      </x:c>
      <x:c r="K89" s="15" t="n">
        <x:f>'Score Inputs'!O14</x:f>
        <x:v>11</x:v>
      </x:c>
    </x:row>
    <x:row r="90" ht="48" customHeight="1">
      <x:c r="A90" s="15" t="str">
        <x:v>Budget and access</x:v>
      </x:c>
      <x:c r="B90" s="15" t="str">
        <x:v>JobStars USA</x:v>
      </x:c>
      <x:c r="C90" s="34" t="n">
        <x:f>ROUND(SUMPRODUCT('Score Inputs'!C15:K15,Rubric!$C$30:$K$30)/Rubric!$B$8,8)</x:f>
        <x:v>81.125</x:v>
      </x:c>
      <x:c r="D90" s="36" t="n">
        <x:f>1+COUNTIF($C$81:$C$105,"&gt;"&amp;C90)+COUNTIFS($C$81:$C$105,C90,$G$81:$G$105,"&gt;"&amp;G90)+COUNTIFS($C$81:$C$105,C90,$G$81:$G$105,G90,$H$81:$H$105,"&gt;"&amp;H90)+COUNTIFS($C$81:$C$105,C90,$G$81:$G$105,G90,$H$81:$H$105,H90,$I$81:$I$105,"&gt;"&amp;I90)+COUNTIFS($C$81:$C$105,C90,$G$81:$G$105,G90,$H$81:$H$105,H90,$I$81:$I$105,I90,$J$81:$J$105,"&gt;"&amp;J90)+COUNTIFS($C$81:$C$105,C90,$G$81:$G$105,G90,$H$81:$H$105,H90,$I$81:$I$105,I90,$J$81:$J$105,J90,$K$81:$K$105,"&lt;"&amp;K90)</x:f>
        <x:v>7</x:v>
      </x:c>
      <x:c r="E90" s="36" t="n">
        <x:f>'Score Inputs'!P15</x:f>
        <x:v>10</x:v>
      </x:c>
      <x:c r="F90" s="36" t="n">
        <x:f>E90-D90</x:f>
        <x:v>3</x:v>
      </x:c>
      <x:c r="G90" s="15" t="n">
        <x:f>'Score Inputs'!D15</x:f>
        <x:v>7.5</x:v>
      </x:c>
      <x:c r="H90" s="15" t="n">
        <x:f>'Score Inputs'!C15</x:f>
        <x:v>8.5</x:v>
      </x:c>
      <x:c r="I90" s="15" t="n">
        <x:f>'Score Inputs'!E15</x:f>
        <x:v>8</x:v>
      </x:c>
      <x:c r="J90" s="15" t="n">
        <x:f>'Score Inputs'!N15</x:f>
        <x:v>2</x:v>
      </x:c>
      <x:c r="K90" s="15" t="n">
        <x:f>'Score Inputs'!O15</x:f>
        <x:v>12</x:v>
      </x:c>
    </x:row>
    <x:row r="91" ht="48" customHeight="1">
      <x:c r="A91" s="15" t="str">
        <x:v>Budget and access</x:v>
      </x:c>
      <x:c r="B91" s="15" t="str">
        <x:v>Resume Professional Writers</x:v>
      </x:c>
      <x:c r="C91" s="34" t="n">
        <x:f>ROUND(SUMPRODUCT('Score Inputs'!C16:K16,Rubric!$C$30:$K$30)/Rubric!$B$8,8)</x:f>
        <x:v>67</x:v>
      </x:c>
      <x:c r="D91" s="36" t="n">
        <x:f>1+COUNTIF($C$81:$C$105,"&gt;"&amp;C91)+COUNTIFS($C$81:$C$105,C91,$G$81:$G$105,"&gt;"&amp;G91)+COUNTIFS($C$81:$C$105,C91,$G$81:$G$105,G91,$H$81:$H$105,"&gt;"&amp;H91)+COUNTIFS($C$81:$C$105,C91,$G$81:$G$105,G91,$H$81:$H$105,H91,$I$81:$I$105,"&gt;"&amp;I91)+COUNTIFS($C$81:$C$105,C91,$G$81:$G$105,G91,$H$81:$H$105,H91,$I$81:$I$105,I91,$J$81:$J$105,"&gt;"&amp;J91)+COUNTIFS($C$81:$C$105,C91,$G$81:$G$105,G91,$H$81:$H$105,H91,$I$81:$I$105,I91,$J$81:$J$105,J91,$K$81:$K$105,"&lt;"&amp;K91)</x:f>
        <x:v>23</x:v>
      </x:c>
      <x:c r="E91" s="36" t="n">
        <x:f>'Score Inputs'!P16</x:f>
        <x:v>23</x:v>
      </x:c>
      <x:c r="F91" s="36" t="n">
        <x:f>E91-D91</x:f>
        <x:v>0</x:v>
      </x:c>
      <x:c r="G91" s="15" t="n">
        <x:f>'Score Inputs'!D16</x:f>
        <x:v>6</x:v>
      </x:c>
      <x:c r="H91" s="15" t="n">
        <x:f>'Score Inputs'!C16</x:f>
        <x:v>6.5</x:v>
      </x:c>
      <x:c r="I91" s="15" t="n">
        <x:f>'Score Inputs'!E16</x:f>
        <x:v>7.5</x:v>
      </x:c>
      <x:c r="J91" s="15" t="n">
        <x:f>'Score Inputs'!N16</x:f>
        <x:v>2</x:v>
      </x:c>
      <x:c r="K91" s="15" t="n">
        <x:f>'Score Inputs'!O16</x:f>
        <x:v>15</x:v>
      </x:c>
    </x:row>
    <x:row r="92" ht="48" customHeight="1">
      <x:c r="A92" s="15" t="str">
        <x:v>Budget and access</x:v>
      </x:c>
      <x:c r="B92" s="15" t="str">
        <x:v>iCareerSolutions</x:v>
      </x:c>
      <x:c r="C92" s="34" t="n">
        <x:f>ROUND(SUMPRODUCT('Score Inputs'!C17:K17,Rubric!$C$30:$K$30)/Rubric!$B$8,8)</x:f>
        <x:v>80.625</x:v>
      </x:c>
      <x:c r="D92" s="36" t="n">
        <x:f>1+COUNTIF($C$81:$C$105,"&gt;"&amp;C92)+COUNTIFS($C$81:$C$105,C92,$G$81:$G$105,"&gt;"&amp;G92)+COUNTIFS($C$81:$C$105,C92,$G$81:$G$105,G92,$H$81:$H$105,"&gt;"&amp;H92)+COUNTIFS($C$81:$C$105,C92,$G$81:$G$105,G92,$H$81:$H$105,H92,$I$81:$I$105,"&gt;"&amp;I92)+COUNTIFS($C$81:$C$105,C92,$G$81:$G$105,G92,$H$81:$H$105,H92,$I$81:$I$105,I92,$J$81:$J$105,"&gt;"&amp;J92)+COUNTIFS($C$81:$C$105,C92,$G$81:$G$105,G92,$H$81:$H$105,H92,$I$81:$I$105,I92,$J$81:$J$105,J92,$K$81:$K$105,"&lt;"&amp;K92)</x:f>
        <x:v>12</x:v>
      </x:c>
      <x:c r="E92" s="36" t="n">
        <x:f>'Score Inputs'!P17</x:f>
        <x:v>12</x:v>
      </x:c>
      <x:c r="F92" s="36" t="n">
        <x:f>E92-D92</x:f>
        <x:v>0</x:v>
      </x:c>
      <x:c r="G92" s="15" t="n">
        <x:f>'Score Inputs'!D17</x:f>
        <x:v>7.5</x:v>
      </x:c>
      <x:c r="H92" s="15" t="n">
        <x:f>'Score Inputs'!C17</x:f>
        <x:v>8</x:v>
      </x:c>
      <x:c r="I92" s="15" t="n">
        <x:f>'Score Inputs'!E17</x:f>
        <x:v>8</x:v>
      </x:c>
      <x:c r="J92" s="15" t="n">
        <x:f>'Score Inputs'!N17</x:f>
        <x:v>2</x:v>
      </x:c>
      <x:c r="K92" s="15" t="n">
        <x:f>'Score Inputs'!O17</x:f>
        <x:v>25</x:v>
      </x:c>
    </x:row>
    <x:row r="93" ht="48" customHeight="1">
      <x:c r="A93" s="15" t="str">
        <x:v>Budget and access</x:v>
      </x:c>
      <x:c r="B93" s="15" t="str">
        <x:v>Distinctive Career Services</x:v>
      </x:c>
      <x:c r="C93" s="34" t="n">
        <x:f>ROUND(SUMPRODUCT('Score Inputs'!C18:K18,Rubric!$C$30:$K$30)/Rubric!$B$8,8)</x:f>
        <x:v>81</x:v>
      </x:c>
      <x:c r="D93" s="36" t="n">
        <x:f>1+COUNTIF($C$81:$C$105,"&gt;"&amp;C93)+COUNTIFS($C$81:$C$105,C93,$G$81:$G$105,"&gt;"&amp;G93)+COUNTIFS($C$81:$C$105,C93,$G$81:$G$105,G93,$H$81:$H$105,"&gt;"&amp;H93)+COUNTIFS($C$81:$C$105,C93,$G$81:$G$105,G93,$H$81:$H$105,H93,$I$81:$I$105,"&gt;"&amp;I93)+COUNTIFS($C$81:$C$105,C93,$G$81:$G$105,G93,$H$81:$H$105,H93,$I$81:$I$105,I93,$J$81:$J$105,"&gt;"&amp;J93)+COUNTIFS($C$81:$C$105,C93,$G$81:$G$105,G93,$H$81:$H$105,H93,$I$81:$I$105,I93,$J$81:$J$105,J93,$K$81:$K$105,"&lt;"&amp;K93)</x:f>
        <x:v>9</x:v>
      </x:c>
      <x:c r="E93" s="36" t="n">
        <x:f>'Score Inputs'!P18</x:f>
        <x:v>4</x:v>
      </x:c>
      <x:c r="F93" s="36" t="n">
        <x:f>E93-D93</x:f>
        <x:v>-5</x:v>
      </x:c>
      <x:c r="G93" s="15" t="n">
        <x:f>'Score Inputs'!D18</x:f>
        <x:v>8</x:v>
      </x:c>
      <x:c r="H93" s="15" t="n">
        <x:f>'Score Inputs'!C18</x:f>
        <x:v>8</x:v>
      </x:c>
      <x:c r="I93" s="15" t="n">
        <x:f>'Score Inputs'!E18</x:f>
        <x:v>7.5</x:v>
      </x:c>
      <x:c r="J93" s="15" t="n">
        <x:f>'Score Inputs'!N18</x:f>
        <x:v>2</x:v>
      </x:c>
      <x:c r="K93" s="15" t="n">
        <x:f>'Score Inputs'!O18</x:f>
        <x:v>7</x:v>
      </x:c>
    </x:row>
    <x:row r="94" ht="48" customHeight="1">
      <x:c r="A94" s="15" t="str">
        <x:v>Budget and access</x:v>
      </x:c>
      <x:c r="B94" s="15" t="str">
        <x:v>Resume Writing Group</x:v>
      </x:c>
      <x:c r="C94" s="34" t="n">
        <x:f>ROUND(SUMPRODUCT('Score Inputs'!C19:K19,Rubric!$C$30:$K$30)/Rubric!$B$8,8)</x:f>
        <x:v>60.375</x:v>
      </x:c>
      <x:c r="D94" s="36" t="n">
        <x:f>1+COUNTIF($C$81:$C$105,"&gt;"&amp;C94)+COUNTIFS($C$81:$C$105,C94,$G$81:$G$105,"&gt;"&amp;G94)+COUNTIFS($C$81:$C$105,C94,$G$81:$G$105,G94,$H$81:$H$105,"&gt;"&amp;H94)+COUNTIFS($C$81:$C$105,C94,$G$81:$G$105,G94,$H$81:$H$105,H94,$I$81:$I$105,"&gt;"&amp;I94)+COUNTIFS($C$81:$C$105,C94,$G$81:$G$105,G94,$H$81:$H$105,H94,$I$81:$I$105,I94,$J$81:$J$105,"&gt;"&amp;J94)+COUNTIFS($C$81:$C$105,C94,$G$81:$G$105,G94,$H$81:$H$105,H94,$I$81:$I$105,I94,$J$81:$J$105,J94,$K$81:$K$105,"&lt;"&amp;K94)</x:f>
        <x:v>25</x:v>
      </x:c>
      <x:c r="E94" s="36" t="n">
        <x:f>'Score Inputs'!P19</x:f>
        <x:v>25</x:v>
      </x:c>
      <x:c r="F94" s="36" t="n">
        <x:f>E94-D94</x:f>
        <x:v>0</x:v>
      </x:c>
      <x:c r="G94" s="15" t="n">
        <x:f>'Score Inputs'!D19</x:f>
        <x:v>5.5</x:v>
      </x:c>
      <x:c r="H94" s="15" t="n">
        <x:f>'Score Inputs'!C19</x:f>
        <x:v>6</x:v>
      </x:c>
      <x:c r="I94" s="15" t="n">
        <x:f>'Score Inputs'!E19</x:f>
        <x:v>6.5</x:v>
      </x:c>
      <x:c r="J94" s="15" t="n">
        <x:f>'Score Inputs'!N19</x:f>
        <x:v>2</x:v>
      </x:c>
      <x:c r="K94" s="15" t="n">
        <x:f>'Score Inputs'!O19</x:f>
        <x:v>17</x:v>
      </x:c>
    </x:row>
    <x:row r="95" ht="48" customHeight="1">
      <x:c r="A95" s="15" t="str">
        <x:v>Budget and access</x:v>
      </x:c>
      <x:c r="B95" s="15" t="str">
        <x:v>An Expert Resume</x:v>
      </x:c>
      <x:c r="C95" s="34" t="n">
        <x:f>ROUND(SUMPRODUCT('Score Inputs'!C20:K20,Rubric!$C$30:$K$30)/Rubric!$B$8,8)</x:f>
        <x:v>82.375</x:v>
      </x:c>
      <x:c r="D95" s="36" t="n">
        <x:f>1+COUNTIF($C$81:$C$105,"&gt;"&amp;C95)+COUNTIFS($C$81:$C$105,C95,$G$81:$G$105,"&gt;"&amp;G95)+COUNTIFS($C$81:$C$105,C95,$G$81:$G$105,G95,$H$81:$H$105,"&gt;"&amp;H95)+COUNTIFS($C$81:$C$105,C95,$G$81:$G$105,G95,$H$81:$H$105,H95,$I$81:$I$105,"&gt;"&amp;I95)+COUNTIFS($C$81:$C$105,C95,$G$81:$G$105,G95,$H$81:$H$105,H95,$I$81:$I$105,I95,$J$81:$J$105,"&gt;"&amp;J95)+COUNTIFS($C$81:$C$105,C95,$G$81:$G$105,G95,$H$81:$H$105,H95,$I$81:$I$105,I95,$J$81:$J$105,J95,$K$81:$K$105,"&lt;"&amp;K95)</x:f>
        <x:v>4</x:v>
      </x:c>
      <x:c r="E95" s="36" t="n">
        <x:f>'Score Inputs'!P20</x:f>
        <x:v>3</x:v>
      </x:c>
      <x:c r="F95" s="36" t="n">
        <x:f>E95-D95</x:f>
        <x:v>-1</x:v>
      </x:c>
      <x:c r="G95" s="15" t="n">
        <x:f>'Score Inputs'!D20</x:f>
        <x:v>8.5</x:v>
      </x:c>
      <x:c r="H95" s="15" t="n">
        <x:f>'Score Inputs'!C20</x:f>
        <x:v>8.5</x:v>
      </x:c>
      <x:c r="I95" s="15" t="n">
        <x:f>'Score Inputs'!E20</x:f>
        <x:v>7.5</x:v>
      </x:c>
      <x:c r="J95" s="15" t="n">
        <x:f>'Score Inputs'!N20</x:f>
        <x:v>2</x:v>
      </x:c>
      <x:c r="K95" s="15" t="n">
        <x:f>'Score Inputs'!O20</x:f>
        <x:v>1</x:v>
      </x:c>
    </x:row>
    <x:row r="96" ht="48" customHeight="1">
      <x:c r="A96" s="15" t="str">
        <x:v>Budget and access</x:v>
      </x:c>
      <x:c r="B96" s="15" t="str">
        <x:v>Resume Target</x:v>
      </x:c>
      <x:c r="C96" s="34" t="n">
        <x:f>ROUND(SUMPRODUCT('Score Inputs'!C21:K21,Rubric!$C$30:$K$30)/Rubric!$B$8,8)</x:f>
        <x:v>75.875</x:v>
      </x:c>
      <x:c r="D96" s="36" t="n">
        <x:f>1+COUNTIF($C$81:$C$105,"&gt;"&amp;C96)+COUNTIFS($C$81:$C$105,C96,$G$81:$G$105,"&gt;"&amp;G96)+COUNTIFS($C$81:$C$105,C96,$G$81:$G$105,G96,$H$81:$H$105,"&gt;"&amp;H96)+COUNTIFS($C$81:$C$105,C96,$G$81:$G$105,G96,$H$81:$H$105,H96,$I$81:$I$105,"&gt;"&amp;I96)+COUNTIFS($C$81:$C$105,C96,$G$81:$G$105,G96,$H$81:$H$105,H96,$I$81:$I$105,I96,$J$81:$J$105,"&gt;"&amp;J96)+COUNTIFS($C$81:$C$105,C96,$G$81:$G$105,G96,$H$81:$H$105,H96,$I$81:$I$105,I96,$J$81:$J$105,J96,$K$81:$K$105,"&lt;"&amp;K96)</x:f>
        <x:v>21</x:v>
      </x:c>
      <x:c r="E96" s="36" t="n">
        <x:f>'Score Inputs'!P21</x:f>
        <x:v>22</x:v>
      </x:c>
      <x:c r="F96" s="36" t="n">
        <x:f>E96-D96</x:f>
        <x:v>1</x:v>
      </x:c>
      <x:c r="G96" s="15" t="n">
        <x:f>'Score Inputs'!D21</x:f>
        <x:v>6.5</x:v>
      </x:c>
      <x:c r="H96" s="15" t="n">
        <x:f>'Score Inputs'!C21</x:f>
        <x:v>7.5</x:v>
      </x:c>
      <x:c r="I96" s="15" t="n">
        <x:f>'Score Inputs'!E21</x:f>
        <x:v>8</x:v>
      </x:c>
      <x:c r="J96" s="15" t="n">
        <x:f>'Score Inputs'!N21</x:f>
        <x:v>1</x:v>
      </x:c>
      <x:c r="K96" s="15" t="n">
        <x:f>'Score Inputs'!O21</x:f>
        <x:v>16</x:v>
      </x:c>
    </x:row>
    <x:row r="97" ht="48" customHeight="1">
      <x:c r="A97" s="15" t="str">
        <x:v>Budget and access</x:v>
      </x:c>
      <x:c r="B97" s="15" t="str">
        <x:v>The Writing Guru</x:v>
      </x:c>
      <x:c r="C97" s="34" t="n">
        <x:f>ROUND(SUMPRODUCT('Score Inputs'!C22:K22,Rubric!$C$30:$K$30)/Rubric!$B$8,8)</x:f>
        <x:v>80</x:v>
      </x:c>
      <x:c r="D97" s="36" t="n">
        <x:f>1+COUNTIF($C$81:$C$105,"&gt;"&amp;C97)+COUNTIFS($C$81:$C$105,C97,$G$81:$G$105,"&gt;"&amp;G97)+COUNTIFS($C$81:$C$105,C97,$G$81:$G$105,G97,$H$81:$H$105,"&gt;"&amp;H97)+COUNTIFS($C$81:$C$105,C97,$G$81:$G$105,G97,$H$81:$H$105,H97,$I$81:$I$105,"&gt;"&amp;I97)+COUNTIFS($C$81:$C$105,C97,$G$81:$G$105,G97,$H$81:$H$105,H97,$I$81:$I$105,I97,$J$81:$J$105,"&gt;"&amp;J97)+COUNTIFS($C$81:$C$105,C97,$G$81:$G$105,G97,$H$81:$H$105,H97,$I$81:$I$105,I97,$J$81:$J$105,J97,$K$81:$K$105,"&lt;"&amp;K97)</x:f>
        <x:v>15</x:v>
      </x:c>
      <x:c r="E97" s="36" t="n">
        <x:f>'Score Inputs'!P22</x:f>
        <x:v>5</x:v>
      </x:c>
      <x:c r="F97" s="36" t="n">
        <x:f>E97-D97</x:f>
        <x:v>-10</x:v>
      </x:c>
      <x:c r="G97" s="15" t="n">
        <x:f>'Score Inputs'!D22</x:f>
        <x:v>8</x:v>
      </x:c>
      <x:c r="H97" s="15" t="n">
        <x:f>'Score Inputs'!C22</x:f>
        <x:v>8</x:v>
      </x:c>
      <x:c r="I97" s="15" t="n">
        <x:f>'Score Inputs'!E22</x:f>
        <x:v>7</x:v>
      </x:c>
      <x:c r="J97" s="15" t="n">
        <x:f>'Score Inputs'!N22</x:f>
        <x:v>2</x:v>
      </x:c>
      <x:c r="K97" s="15" t="n">
        <x:f>'Score Inputs'!O22</x:f>
        <x:v>22</x:v>
      </x:c>
    </x:row>
    <x:row r="98" ht="48" customHeight="1">
      <x:c r="A98" s="15" t="str">
        <x:v>Budget and access</x:v>
      </x:c>
      <x:c r="B98" s="15" t="str">
        <x:v>Career Impressions</x:v>
      </x:c>
      <x:c r="C98" s="34" t="n">
        <x:f>ROUND(SUMPRODUCT('Score Inputs'!C23:K23,Rubric!$C$30:$K$30)/Rubric!$B$8,8)</x:f>
        <x:v>83.75</x:v>
      </x:c>
      <x:c r="D98" s="36" t="n">
        <x:f>1+COUNTIF($C$81:$C$105,"&gt;"&amp;C98)+COUNTIFS($C$81:$C$105,C98,$G$81:$G$105,"&gt;"&amp;G98)+COUNTIFS($C$81:$C$105,C98,$G$81:$G$105,G98,$H$81:$H$105,"&gt;"&amp;H98)+COUNTIFS($C$81:$C$105,C98,$G$81:$G$105,G98,$H$81:$H$105,H98,$I$81:$I$105,"&gt;"&amp;I98)+COUNTIFS($C$81:$C$105,C98,$G$81:$G$105,G98,$H$81:$H$105,H98,$I$81:$I$105,I98,$J$81:$J$105,"&gt;"&amp;J98)+COUNTIFS($C$81:$C$105,C98,$G$81:$G$105,G98,$H$81:$H$105,H98,$I$81:$I$105,I98,$J$81:$J$105,J98,$K$81:$K$105,"&lt;"&amp;K98)</x:f>
        <x:v>2</x:v>
      </x:c>
      <x:c r="E98" s="36" t="n">
        <x:f>'Score Inputs'!P23</x:f>
        <x:v>2</x:v>
      </x:c>
      <x:c r="F98" s="36" t="n">
        <x:f>E98-D98</x:f>
        <x:v>0</x:v>
      </x:c>
      <x:c r="G98" s="15" t="n">
        <x:f>'Score Inputs'!D23</x:f>
        <x:v>8</x:v>
      </x:c>
      <x:c r="H98" s="15" t="n">
        <x:f>'Score Inputs'!C23</x:f>
        <x:v>8.5</x:v>
      </x:c>
      <x:c r="I98" s="15" t="n">
        <x:f>'Score Inputs'!E23</x:f>
        <x:v>8</x:v>
      </x:c>
      <x:c r="J98" s="15" t="n">
        <x:f>'Score Inputs'!N23</x:f>
        <x:v>2</x:v>
      </x:c>
      <x:c r="K98" s="15" t="n">
        <x:f>'Score Inputs'!O23</x:f>
        <x:v>4</x:v>
      </x:c>
    </x:row>
    <x:row r="99" ht="48" customHeight="1">
      <x:c r="A99" s="15" t="str">
        <x:v>Budget and access</x:v>
      </x:c>
      <x:c r="B99" s="15" t="str">
        <x:v>CareerProPlus / CareerPro Global</x:v>
      </x:c>
      <x:c r="C99" s="34" t="n">
        <x:f>ROUND(SUMPRODUCT('Score Inputs'!C24:K24,Rubric!$C$30:$K$30)/Rubric!$B$8,8)</x:f>
        <x:v>76</x:v>
      </x:c>
      <x:c r="D99" s="36" t="n">
        <x:f>1+COUNTIF($C$81:$C$105,"&gt;"&amp;C99)+COUNTIFS($C$81:$C$105,C99,$G$81:$G$105,"&gt;"&amp;G99)+COUNTIFS($C$81:$C$105,C99,$G$81:$G$105,G99,$H$81:$H$105,"&gt;"&amp;H99)+COUNTIFS($C$81:$C$105,C99,$G$81:$G$105,G99,$H$81:$H$105,H99,$I$81:$I$105,"&gt;"&amp;I99)+COUNTIFS($C$81:$C$105,C99,$G$81:$G$105,G99,$H$81:$H$105,H99,$I$81:$I$105,I99,$J$81:$J$105,"&gt;"&amp;J99)+COUNTIFS($C$81:$C$105,C99,$G$81:$G$105,G99,$H$81:$H$105,H99,$I$81:$I$105,I99,$J$81:$J$105,J99,$K$81:$K$105,"&lt;"&amp;K99)</x:f>
        <x:v>20</x:v>
      </x:c>
      <x:c r="E99" s="36" t="n">
        <x:f>'Score Inputs'!P24</x:f>
        <x:v>16</x:v>
      </x:c>
      <x:c r="F99" s="36" t="n">
        <x:f>E99-D99</x:f>
        <x:v>-4</x:v>
      </x:c>
      <x:c r="G99" s="15" t="n">
        <x:f>'Score Inputs'!D24</x:f>
        <x:v>7</x:v>
      </x:c>
      <x:c r="H99" s="15" t="n">
        <x:f>'Score Inputs'!C24</x:f>
        <x:v>8</x:v>
      </x:c>
      <x:c r="I99" s="15" t="n">
        <x:f>'Score Inputs'!E24</x:f>
        <x:v>7</x:v>
      </x:c>
      <x:c r="J99" s="15" t="n">
        <x:f>'Score Inputs'!N24</x:f>
        <x:v>1</x:v>
      </x:c>
      <x:c r="K99" s="15" t="n">
        <x:f>'Score Inputs'!O24</x:f>
        <x:v>6</x:v>
      </x:c>
    </x:row>
    <x:row r="100" ht="48" customHeight="1">
      <x:c r="A100" s="15" t="str">
        <x:v>Budget and access</x:v>
      </x:c>
      <x:c r="B100" s="15" t="str">
        <x:v>Career Steering</x:v>
      </x:c>
      <x:c r="C100" s="34" t="n">
        <x:f>ROUND(SUMPRODUCT('Score Inputs'!C25:K25,Rubric!$C$30:$K$30)/Rubric!$B$8,8)</x:f>
        <x:v>81</x:v>
      </x:c>
      <x:c r="D100" s="36" t="n">
        <x:f>1+COUNTIF($C$81:$C$105,"&gt;"&amp;C100)+COUNTIFS($C$81:$C$105,C100,$G$81:$G$105,"&gt;"&amp;G100)+COUNTIFS($C$81:$C$105,C100,$G$81:$G$105,G100,$H$81:$H$105,"&gt;"&amp;H100)+COUNTIFS($C$81:$C$105,C100,$G$81:$G$105,G100,$H$81:$H$105,H100,$I$81:$I$105,"&gt;"&amp;I100)+COUNTIFS($C$81:$C$105,C100,$G$81:$G$105,G100,$H$81:$H$105,H100,$I$81:$I$105,I100,$J$81:$J$105,"&gt;"&amp;J100)+COUNTIFS($C$81:$C$105,C100,$G$81:$G$105,G100,$H$81:$H$105,H100,$I$81:$I$105,I100,$J$81:$J$105,J100,$K$81:$K$105,"&lt;"&amp;K100)</x:f>
        <x:v>8</x:v>
      </x:c>
      <x:c r="E100" s="36" t="n">
        <x:f>'Score Inputs'!P25</x:f>
        <x:v>6</x:v>
      </x:c>
      <x:c r="F100" s="36" t="n">
        <x:f>E100-D100</x:f>
        <x:v>-2</x:v>
      </x:c>
      <x:c r="G100" s="15" t="n">
        <x:f>'Score Inputs'!D25</x:f>
        <x:v>8</x:v>
      </x:c>
      <x:c r="H100" s="15" t="n">
        <x:f>'Score Inputs'!C25</x:f>
        <x:v>8.5</x:v>
      </x:c>
      <x:c r="I100" s="15" t="n">
        <x:f>'Score Inputs'!E25</x:f>
        <x:v>7.5</x:v>
      </x:c>
      <x:c r="J100" s="15" t="n">
        <x:f>'Score Inputs'!N25</x:f>
        <x:v>2</x:v>
      </x:c>
      <x:c r="K100" s="15" t="n">
        <x:f>'Score Inputs'!O25</x:f>
        <x:v>5</x:v>
      </x:c>
    </x:row>
    <x:row r="101" ht="48" customHeight="1">
      <x:c r="A101" s="15" t="str">
        <x:v>Budget and access</x:v>
      </x:c>
      <x:c r="B101" s="15" t="str">
        <x:v>Blue Sky Resumes</x:v>
      </x:c>
      <x:c r="C101" s="34" t="n">
        <x:f>ROUND(SUMPRODUCT('Score Inputs'!C26:K26,Rubric!$C$30:$K$30)/Rubric!$B$8,8)</x:f>
        <x:v>80.375</x:v>
      </x:c>
      <x:c r="D101" s="36" t="n">
        <x:f>1+COUNTIF($C$81:$C$105,"&gt;"&amp;C101)+COUNTIFS($C$81:$C$105,C101,$G$81:$G$105,"&gt;"&amp;G101)+COUNTIFS($C$81:$C$105,C101,$G$81:$G$105,G101,$H$81:$H$105,"&gt;"&amp;H101)+COUNTIFS($C$81:$C$105,C101,$G$81:$G$105,G101,$H$81:$H$105,H101,$I$81:$I$105,"&gt;"&amp;I101)+COUNTIFS($C$81:$C$105,C101,$G$81:$G$105,G101,$H$81:$H$105,H101,$I$81:$I$105,I101,$J$81:$J$105,"&gt;"&amp;J101)+COUNTIFS($C$81:$C$105,C101,$G$81:$G$105,G101,$H$81:$H$105,H101,$I$81:$I$105,I101,$J$81:$J$105,J101,$K$81:$K$105,"&lt;"&amp;K101)</x:f>
        <x:v>13</x:v>
      </x:c>
      <x:c r="E101" s="36" t="n">
        <x:f>'Score Inputs'!P26</x:f>
        <x:v>15</x:v>
      </x:c>
      <x:c r="F101" s="36" t="n">
        <x:f>E101-D101</x:f>
        <x:v>2</x:v>
      </x:c>
      <x:c r="G101" s="15" t="n">
        <x:f>'Score Inputs'!D26</x:f>
        <x:v>7.5</x:v>
      </x:c>
      <x:c r="H101" s="15" t="n">
        <x:f>'Score Inputs'!C26</x:f>
        <x:v>7.5</x:v>
      </x:c>
      <x:c r="I101" s="15" t="n">
        <x:f>'Score Inputs'!E26</x:f>
        <x:v>8.5</x:v>
      </x:c>
      <x:c r="J101" s="15" t="n">
        <x:f>'Score Inputs'!N26</x:f>
        <x:v>1</x:v>
      </x:c>
      <x:c r="K101" s="15" t="n">
        <x:f>'Score Inputs'!O26</x:f>
        <x:v>2</x:v>
      </x:c>
    </x:row>
    <x:row r="102" ht="48" customHeight="1">
      <x:c r="A102" s="15" t="str">
        <x:v>Budget and access</x:v>
      </x:c>
      <x:c r="B102" s="15" t="str">
        <x:v>Briefcase Coach</x:v>
      </x:c>
      <x:c r="C102" s="34" t="n">
        <x:f>ROUND(SUMPRODUCT('Score Inputs'!C27:K27,Rubric!$C$30:$K$30)/Rubric!$B$8,8)</x:f>
        <x:v>78.875</x:v>
      </x:c>
      <x:c r="D102" s="36" t="n">
        <x:f>1+COUNTIF($C$81:$C$105,"&gt;"&amp;C102)+COUNTIFS($C$81:$C$105,C102,$G$81:$G$105,"&gt;"&amp;G102)+COUNTIFS($C$81:$C$105,C102,$G$81:$G$105,G102,$H$81:$H$105,"&gt;"&amp;H102)+COUNTIFS($C$81:$C$105,C102,$G$81:$G$105,G102,$H$81:$H$105,H102,$I$81:$I$105,"&gt;"&amp;I102)+COUNTIFS($C$81:$C$105,C102,$G$81:$G$105,G102,$H$81:$H$105,H102,$I$81:$I$105,I102,$J$81:$J$105,"&gt;"&amp;J102)+COUNTIFS($C$81:$C$105,C102,$G$81:$G$105,G102,$H$81:$H$105,H102,$I$81:$I$105,I102,$J$81:$J$105,J102,$K$81:$K$105,"&lt;"&amp;K102)</x:f>
        <x:v>16</x:v>
      </x:c>
      <x:c r="E102" s="36" t="n">
        <x:f>'Score Inputs'!P27</x:f>
        <x:v>14</x:v>
      </x:c>
      <x:c r="F102" s="36" t="n">
        <x:f>E102-D102</x:f>
        <x:v>-2</x:v>
      </x:c>
      <x:c r="G102" s="15" t="n">
        <x:f>'Score Inputs'!D27</x:f>
        <x:v>7.5</x:v>
      </x:c>
      <x:c r="H102" s="15" t="n">
        <x:f>'Score Inputs'!C27</x:f>
        <x:v>8</x:v>
      </x:c>
      <x:c r="I102" s="15" t="n">
        <x:f>'Score Inputs'!E27</x:f>
        <x:v>7.5</x:v>
      </x:c>
      <x:c r="J102" s="15" t="n">
        <x:f>'Score Inputs'!N27</x:f>
        <x:v>2</x:v>
      </x:c>
      <x:c r="K102" s="15" t="n">
        <x:f>'Score Inputs'!O27</x:f>
        <x:v>3</x:v>
      </x:c>
    </x:row>
    <x:row r="103" ht="48" customHeight="1">
      <x:c r="A103" s="15" t="str">
        <x:v>Budget and access</x:v>
      </x:c>
      <x:c r="B103" s="15" t="str">
        <x:v>Klaxos</x:v>
      </x:c>
      <x:c r="C103" s="34" t="n">
        <x:f>ROUND(SUMPRODUCT('Score Inputs'!C28:K28,Rubric!$C$30:$K$30)/Rubric!$B$8,8)</x:f>
        <x:v>76</x:v>
      </x:c>
      <x:c r="D103" s="36" t="n">
        <x:f>1+COUNTIF($C$81:$C$105,"&gt;"&amp;C103)+COUNTIFS($C$81:$C$105,C103,$G$81:$G$105,"&gt;"&amp;G103)+COUNTIFS($C$81:$C$105,C103,$G$81:$G$105,G103,$H$81:$H$105,"&gt;"&amp;H103)+COUNTIFS($C$81:$C$105,C103,$G$81:$G$105,G103,$H$81:$H$105,H103,$I$81:$I$105,"&gt;"&amp;I103)+COUNTIFS($C$81:$C$105,C103,$G$81:$G$105,G103,$H$81:$H$105,H103,$I$81:$I$105,I103,$J$81:$J$105,"&gt;"&amp;J103)+COUNTIFS($C$81:$C$105,C103,$G$81:$G$105,G103,$H$81:$H$105,H103,$I$81:$I$105,I103,$J$81:$J$105,J103,$K$81:$K$105,"&lt;"&amp;K103)</x:f>
        <x:v>19</x:v>
      </x:c>
      <x:c r="E103" s="36" t="n">
        <x:f>'Score Inputs'!P28</x:f>
        <x:v>20</x:v>
      </x:c>
      <x:c r="F103" s="36" t="n">
        <x:f>E103-D103</x:f>
        <x:v>1</x:v>
      </x:c>
      <x:c r="G103" s="15" t="n">
        <x:f>'Score Inputs'!D28</x:f>
        <x:v>7</x:v>
      </x:c>
      <x:c r="H103" s="15" t="n">
        <x:f>'Score Inputs'!C28</x:f>
        <x:v>8</x:v>
      </x:c>
      <x:c r="I103" s="15" t="n">
        <x:f>'Score Inputs'!E28</x:f>
        <x:v>7.5</x:v>
      </x:c>
      <x:c r="J103" s="15" t="n">
        <x:f>'Score Inputs'!N28</x:f>
        <x:v>1</x:v>
      </x:c>
      <x:c r="K103" s="15" t="n">
        <x:f>'Score Inputs'!O28</x:f>
        <x:v>13</x:v>
      </x:c>
    </x:row>
    <x:row r="104" ht="48" customHeight="1">
      <x:c r="A104" s="15" t="str">
        <x:v>Budget and access</x:v>
      </x:c>
      <x:c r="B104" s="15" t="str">
        <x:v>Scientech Resumes / Scientech Career Systems</x:v>
      </x:c>
      <x:c r="C104" s="34" t="n">
        <x:f>ROUND(SUMPRODUCT('Score Inputs'!C29:K29,Rubric!$C$30:$K$30)/Rubric!$B$8,8)</x:f>
        <x:v>76.25</x:v>
      </x:c>
      <x:c r="D104" s="36" t="n">
        <x:f>1+COUNTIF($C$81:$C$105,"&gt;"&amp;C104)+COUNTIFS($C$81:$C$105,C104,$G$81:$G$105,"&gt;"&amp;G104)+COUNTIFS($C$81:$C$105,C104,$G$81:$G$105,G104,$H$81:$H$105,"&gt;"&amp;H104)+COUNTIFS($C$81:$C$105,C104,$G$81:$G$105,G104,$H$81:$H$105,H104,$I$81:$I$105,"&gt;"&amp;I104)+COUNTIFS($C$81:$C$105,C104,$G$81:$G$105,G104,$H$81:$H$105,H104,$I$81:$I$105,I104,$J$81:$J$105,"&gt;"&amp;J104)+COUNTIFS($C$81:$C$105,C104,$G$81:$G$105,G104,$H$81:$H$105,H104,$I$81:$I$105,I104,$J$81:$J$105,J104,$K$81:$K$105,"&lt;"&amp;K104)</x:f>
        <x:v>18</x:v>
      </x:c>
      <x:c r="E104" s="36" t="n">
        <x:f>'Score Inputs'!P29</x:f>
        <x:v>17</x:v>
      </x:c>
      <x:c r="F104" s="36" t="n">
        <x:f>E104-D104</x:f>
        <x:v>-1</x:v>
      </x:c>
      <x:c r="G104" s="15" t="n">
        <x:f>'Score Inputs'!D29</x:f>
        <x:v>7.5</x:v>
      </x:c>
      <x:c r="H104" s="15" t="n">
        <x:f>'Score Inputs'!C29</x:f>
        <x:v>7.5</x:v>
      </x:c>
      <x:c r="I104" s="15" t="n">
        <x:f>'Score Inputs'!E29</x:f>
        <x:v>7</x:v>
      </x:c>
      <x:c r="J104" s="15" t="n">
        <x:f>'Score Inputs'!N29</x:f>
        <x:v>1</x:v>
      </x:c>
      <x:c r="K104" s="15" t="n">
        <x:f>'Score Inputs'!O29</x:f>
        <x:v>20</x:v>
      </x:c>
    </x:row>
    <x:row r="105" ht="48" customHeight="1">
      <x:c r="A105" s="15" t="str">
        <x:v>Budget and access</x:v>
      </x:c>
      <x:c r="B105" s="15" t="str">
        <x:v>Employment BOOST</x:v>
      </x:c>
      <x:c r="C105" s="34" t="n">
        <x:f>ROUND(SUMPRODUCT('Score Inputs'!C30:K30,Rubric!$C$30:$K$30)/Rubric!$B$8,8)</x:f>
        <x:v>80.875</x:v>
      </x:c>
      <x:c r="D105" s="36" t="n">
        <x:f>1+COUNTIF($C$81:$C$105,"&gt;"&amp;C105)+COUNTIFS($C$81:$C$105,C105,$G$81:$G$105,"&gt;"&amp;G105)+COUNTIFS($C$81:$C$105,C105,$G$81:$G$105,G105,$H$81:$H$105,"&gt;"&amp;H105)+COUNTIFS($C$81:$C$105,C105,$G$81:$G$105,G105,$H$81:$H$105,H105,$I$81:$I$105,"&gt;"&amp;I105)+COUNTIFS($C$81:$C$105,C105,$G$81:$G$105,G105,$H$81:$H$105,H105,$I$81:$I$105,I105,$J$81:$J$105,"&gt;"&amp;J105)+COUNTIFS($C$81:$C$105,C105,$G$81:$G$105,G105,$H$81:$H$105,H105,$I$81:$I$105,I105,$J$81:$J$105,J105,$K$81:$K$105,"&lt;"&amp;K105)</x:f>
        <x:v>10</x:v>
      </x:c>
      <x:c r="E105" s="36" t="n">
        <x:f>'Score Inputs'!P30</x:f>
        <x:v>9</x:v>
      </x:c>
      <x:c r="F105" s="36" t="n">
        <x:f>E105-D105</x:f>
        <x:v>-1</x:v>
      </x:c>
      <x:c r="G105" s="15" t="n">
        <x:f>'Score Inputs'!D30</x:f>
        <x:v>7.5</x:v>
      </x:c>
      <x:c r="H105" s="15" t="n">
        <x:f>'Score Inputs'!C30</x:f>
        <x:v>8.5</x:v>
      </x:c>
      <x:c r="I105" s="15" t="n">
        <x:f>'Score Inputs'!E30</x:f>
        <x:v>8</x:v>
      </x:c>
      <x:c r="J105" s="15" t="n">
        <x:f>'Score Inputs'!N30</x:f>
        <x:v>2</x:v>
      </x:c>
      <x:c r="K105" s="15" t="n">
        <x:f>'Score Inputs'!O30</x:f>
        <x:v>8</x:v>
      </x:c>
    </x:row>
    <x:row r="106" ht="48" customHeight="1">
      <x:c r="A106" s="15" t="str">
        <x:v>Equal criteria</x:v>
      </x:c>
      <x:c r="B106" s="15" t="str">
        <x:v>Let’s Eat, Grandma</x:v>
      </x:c>
      <x:c r="C106" s="34" t="n">
        <x:f>ROUND(SUMPRODUCT('Score Inputs'!C6:K6,Rubric!$C$31:$K$31)/Rubric!$B$8,8)</x:f>
        <x:v>78.88888889</x:v>
      </x:c>
      <x:c r="D106" s="36" t="n">
        <x:f>1+COUNTIF($C$106:$C$130,"&gt;"&amp;C106)+COUNTIFS($C$106:$C$130,C106,$G$106:$G$130,"&gt;"&amp;G106)+COUNTIFS($C$106:$C$130,C106,$G$106:$G$130,G106,$H$106:$H$130,"&gt;"&amp;H106)+COUNTIFS($C$106:$C$130,C106,$G$106:$G$130,G106,$H$106:$H$130,H106,$I$106:$I$130,"&gt;"&amp;I106)+COUNTIFS($C$106:$C$130,C106,$G$106:$G$130,G106,$H$106:$H$130,H106,$I$106:$I$130,I106,$J$106:$J$130,"&gt;"&amp;J106)+COUNTIFS($C$106:$C$130,C106,$G$106:$G$130,G106,$H$106:$H$130,H106,$I$106:$I$130,I106,$J$106:$J$130,J106,$K$106:$K$130,"&lt;"&amp;K106)</x:f>
        <x:v>17</x:v>
      </x:c>
      <x:c r="E106" s="36" t="n">
        <x:f>'Score Inputs'!P6</x:f>
        <x:v>13</x:v>
      </x:c>
      <x:c r="F106" s="36" t="n">
        <x:f>E106-D106</x:f>
        <x:v>-4</x:v>
      </x:c>
      <x:c r="G106" s="15" t="n">
        <x:f>'Score Inputs'!D6</x:f>
        <x:v>8</x:v>
      </x:c>
      <x:c r="H106" s="15" t="n">
        <x:f>'Score Inputs'!C6</x:f>
        <x:v>8.5</x:v>
      </x:c>
      <x:c r="I106" s="15" t="n">
        <x:f>'Score Inputs'!E6</x:f>
        <x:v>8.5</x:v>
      </x:c>
      <x:c r="J106" s="15" t="n">
        <x:f>'Score Inputs'!N6</x:f>
        <x:v>2</x:v>
      </x:c>
      <x:c r="K106" s="15" t="n">
        <x:f>'Score Inputs'!O6</x:f>
        <x:v>14</x:v>
      </x:c>
    </x:row>
    <x:row r="107" ht="48" customHeight="1">
      <x:c r="A107" s="15" t="str">
        <x:v>Equal criteria</x:v>
      </x:c>
      <x:c r="B107" s="15" t="str">
        <x:v>Find My Profession</x:v>
      </x:c>
      <x:c r="C107" s="34" t="n">
        <x:f>ROUND(SUMPRODUCT('Score Inputs'!C7:K7,Rubric!$C$31:$K$31)/Rubric!$B$8,8)</x:f>
        <x:v>80</x:v>
      </x:c>
      <x:c r="D107" s="36" t="n">
        <x:f>1+COUNTIF($C$106:$C$130,"&gt;"&amp;C107)+COUNTIFS($C$106:$C$130,C107,$G$106:$G$130,"&gt;"&amp;G107)+COUNTIFS($C$106:$C$130,C107,$G$106:$G$130,G107,$H$106:$H$130,"&gt;"&amp;H107)+COUNTIFS($C$106:$C$130,C107,$G$106:$G$130,G107,$H$106:$H$130,H107,$I$106:$I$130,"&gt;"&amp;I107)+COUNTIFS($C$106:$C$130,C107,$G$106:$G$130,G107,$H$106:$H$130,H107,$I$106:$I$130,I107,$J$106:$J$130,"&gt;"&amp;J107)+COUNTIFS($C$106:$C$130,C107,$G$106:$G$130,G107,$H$106:$H$130,H107,$I$106:$I$130,I107,$J$106:$J$130,J107,$K$106:$K$130,"&lt;"&amp;K107)</x:f>
        <x:v>11</x:v>
      </x:c>
      <x:c r="E107" s="36" t="n">
        <x:f>'Score Inputs'!P7</x:f>
        <x:v>8</x:v>
      </x:c>
      <x:c r="F107" s="36" t="n">
        <x:f>E107-D107</x:f>
        <x:v>-3</x:v>
      </x:c>
      <x:c r="G107" s="15" t="n">
        <x:f>'Score Inputs'!D7</x:f>
        <x:v>7.5</x:v>
      </x:c>
      <x:c r="H107" s="15" t="n">
        <x:f>'Score Inputs'!C7</x:f>
        <x:v>8.5</x:v>
      </x:c>
      <x:c r="I107" s="15" t="n">
        <x:f>'Score Inputs'!E7</x:f>
        <x:v>8</x:v>
      </x:c>
      <x:c r="J107" s="15" t="n">
        <x:f>'Score Inputs'!N7</x:f>
        <x:v>2</x:v>
      </x:c>
      <x:c r="K107" s="15" t="n">
        <x:f>'Score Inputs'!O7</x:f>
        <x:v>9</x:v>
      </x:c>
    </x:row>
    <x:row r="108" ht="48" customHeight="1">
      <x:c r="A108" s="15" t="str">
        <x:v>Equal criteria</x:v>
      </x:c>
      <x:c r="B108" s="15" t="str">
        <x:v>TopStack Resume</x:v>
      </x:c>
      <x:c r="C108" s="34" t="n">
        <x:f>ROUND(SUMPRODUCT('Score Inputs'!C8:K8,Rubric!$C$31:$K$31)/Rubric!$B$8,8)</x:f>
        <x:v>74.44444444</x:v>
      </x:c>
      <x:c r="D108" s="36" t="n">
        <x:f>1+COUNTIF($C$106:$C$130,"&gt;"&amp;C108)+COUNTIFS($C$106:$C$130,C108,$G$106:$G$130,"&gt;"&amp;G108)+COUNTIFS($C$106:$C$130,C108,$G$106:$G$130,G108,$H$106:$H$130,"&gt;"&amp;H108)+COUNTIFS($C$106:$C$130,C108,$G$106:$G$130,G108,$H$106:$H$130,H108,$I$106:$I$130,"&gt;"&amp;I108)+COUNTIFS($C$106:$C$130,C108,$G$106:$G$130,G108,$H$106:$H$130,H108,$I$106:$I$130,I108,$J$106:$J$130,"&gt;"&amp;J108)+COUNTIFS($C$106:$C$130,C108,$G$106:$G$130,G108,$H$106:$H$130,H108,$I$106:$I$130,I108,$J$106:$J$130,J108,$K$106:$K$130,"&lt;"&amp;K108)</x:f>
        <x:v>21</x:v>
      </x:c>
      <x:c r="E108" s="36" t="n">
        <x:f>'Score Inputs'!P8</x:f>
        <x:v>18</x:v>
      </x:c>
      <x:c r="F108" s="36" t="n">
        <x:f>E108-D108</x:f>
        <x:v>-3</x:v>
      </x:c>
      <x:c r="G108" s="15" t="n">
        <x:f>'Score Inputs'!D8</x:f>
        <x:v>7</x:v>
      </x:c>
      <x:c r="H108" s="15" t="n">
        <x:f>'Score Inputs'!C8</x:f>
        <x:v>8.5</x:v>
      </x:c>
      <x:c r="I108" s="15" t="n">
        <x:f>'Score Inputs'!E8</x:f>
        <x:v>9</x:v>
      </x:c>
      <x:c r="J108" s="15" t="n">
        <x:f>'Score Inputs'!N8</x:f>
        <x:v>2</x:v>
      </x:c>
      <x:c r="K108" s="15" t="n">
        <x:f>'Score Inputs'!O8</x:f>
        <x:v>24</x:v>
      </x:c>
    </x:row>
    <x:row r="109" ht="48" customHeight="1">
      <x:c r="A109" s="15" t="str">
        <x:v>Equal criteria</x:v>
      </x:c>
      <x:c r="B109" s="15" t="str">
        <x:v>Resumeble</x:v>
      </x:c>
      <x:c r="C109" s="34" t="n">
        <x:f>ROUND(SUMPRODUCT('Score Inputs'!C9:K9,Rubric!$C$31:$K$31)/Rubric!$B$8,8)</x:f>
        <x:v>72.77777778</x:v>
      </x:c>
      <x:c r="D109" s="36" t="n">
        <x:f>1+COUNTIF($C$106:$C$130,"&gt;"&amp;C109)+COUNTIFS($C$106:$C$130,C109,$G$106:$G$130,"&gt;"&amp;G109)+COUNTIFS($C$106:$C$130,C109,$G$106:$G$130,G109,$H$106:$H$130,"&gt;"&amp;H109)+COUNTIFS($C$106:$C$130,C109,$G$106:$G$130,G109,$H$106:$H$130,H109,$I$106:$I$130,"&gt;"&amp;I109)+COUNTIFS($C$106:$C$130,C109,$G$106:$G$130,G109,$H$106:$H$130,H109,$I$106:$I$130,I109,$J$106:$J$130,"&gt;"&amp;J109)+COUNTIFS($C$106:$C$130,C109,$G$106:$G$130,G109,$H$106:$H$130,H109,$I$106:$I$130,I109,$J$106:$J$130,J109,$K$106:$K$130,"&lt;"&amp;K109)</x:f>
        <x:v>22</x:v>
      </x:c>
      <x:c r="E109" s="36" t="n">
        <x:f>'Score Inputs'!P9</x:f>
        <x:v>21</x:v>
      </x:c>
      <x:c r="F109" s="36" t="n">
        <x:f>E109-D109</x:f>
        <x:v>-1</x:v>
      </x:c>
      <x:c r="G109" s="15" t="n">
        <x:f>'Score Inputs'!D9</x:f>
        <x:v>7</x:v>
      </x:c>
      <x:c r="H109" s="15" t="n">
        <x:f>'Score Inputs'!C9</x:f>
        <x:v>8</x:v>
      </x:c>
      <x:c r="I109" s="15" t="n">
        <x:f>'Score Inputs'!E9</x:f>
        <x:v>8.5</x:v>
      </x:c>
      <x:c r="J109" s="15" t="n">
        <x:f>'Score Inputs'!N9</x:f>
        <x:v>2</x:v>
      </x:c>
      <x:c r="K109" s="15" t="n">
        <x:f>'Score Inputs'!O9</x:f>
        <x:v>19</x:v>
      </x:c>
    </x:row>
    <x:row r="110" ht="48" customHeight="1">
      <x:c r="A110" s="15" t="str">
        <x:v>Equal criteria</x:v>
      </x:c>
      <x:c r="B110" s="15" t="str">
        <x:v>ResumeSpice</x:v>
      </x:c>
      <x:c r="C110" s="34" t="n">
        <x:f>ROUND(SUMPRODUCT('Score Inputs'!C10:K10,Rubric!$C$31:$K$31)/Rubric!$B$8,8)</x:f>
        <x:v>80.55555556</x:v>
      </x:c>
      <x:c r="D110" s="36" t="n">
        <x:f>1+COUNTIF($C$106:$C$130,"&gt;"&amp;C110)+COUNTIFS($C$106:$C$130,C110,$G$106:$G$130,"&gt;"&amp;G110)+COUNTIFS($C$106:$C$130,C110,$G$106:$G$130,G110,$H$106:$H$130,"&gt;"&amp;H110)+COUNTIFS($C$106:$C$130,C110,$G$106:$G$130,G110,$H$106:$H$130,H110,$I$106:$I$130,"&gt;"&amp;I110)+COUNTIFS($C$106:$C$130,C110,$G$106:$G$130,G110,$H$106:$H$130,H110,$I$106:$I$130,I110,$J$106:$J$130,"&gt;"&amp;J110)+COUNTIFS($C$106:$C$130,C110,$G$106:$G$130,G110,$H$106:$H$130,H110,$I$106:$I$130,I110,$J$106:$J$130,J110,$K$106:$K$130,"&lt;"&amp;K110)</x:f>
        <x:v>8</x:v>
      </x:c>
      <x:c r="E110" s="36" t="n">
        <x:f>'Score Inputs'!P10</x:f>
        <x:v>7</x:v>
      </x:c>
      <x:c r="F110" s="36" t="n">
        <x:f>E110-D110</x:f>
        <x:v>-1</x:v>
      </x:c>
      <x:c r="G110" s="15" t="n">
        <x:f>'Score Inputs'!D10</x:f>
        <x:v>8</x:v>
      </x:c>
      <x:c r="H110" s="15" t="n">
        <x:f>'Score Inputs'!C10</x:f>
        <x:v>9</x:v>
      </x:c>
      <x:c r="I110" s="15" t="n">
        <x:f>'Score Inputs'!E10</x:f>
        <x:v>8</x:v>
      </x:c>
      <x:c r="J110" s="15" t="n">
        <x:f>'Score Inputs'!N10</x:f>
        <x:v>2</x:v>
      </x:c>
      <x:c r="K110" s="15" t="n">
        <x:f>'Score Inputs'!O10</x:f>
        <x:v>18</x:v>
      </x:c>
    </x:row>
    <x:row r="111" ht="48" customHeight="1">
      <x:c r="A111" s="15" t="str">
        <x:v>Equal criteria</x:v>
      </x:c>
      <x:c r="B111" s="15" t="str">
        <x:v>Great Resumes Fast</x:v>
      </x:c>
      <x:c r="C111" s="34" t="n">
        <x:f>ROUND(SUMPRODUCT('Score Inputs'!C11:K11,Rubric!$C$31:$K$31)/Rubric!$B$8,8)</x:f>
        <x:v>81.11111111</x:v>
      </x:c>
      <x:c r="D111" s="36" t="n">
        <x:f>1+COUNTIF($C$106:$C$130,"&gt;"&amp;C111)+COUNTIFS($C$106:$C$130,C111,$G$106:$G$130,"&gt;"&amp;G111)+COUNTIFS($C$106:$C$130,C111,$G$106:$G$130,G111,$H$106:$H$130,"&gt;"&amp;H111)+COUNTIFS($C$106:$C$130,C111,$G$106:$G$130,G111,$H$106:$H$130,H111,$I$106:$I$130,"&gt;"&amp;I111)+COUNTIFS($C$106:$C$130,C111,$G$106:$G$130,G111,$H$106:$H$130,H111,$I$106:$I$130,I111,$J$106:$J$130,"&gt;"&amp;J111)+COUNTIFS($C$106:$C$130,C111,$G$106:$G$130,G111,$H$106:$H$130,H111,$I$106:$I$130,I111,$J$106:$J$130,J111,$K$106:$K$130,"&lt;"&amp;K111)</x:f>
        <x:v>7</x:v>
      </x:c>
      <x:c r="E111" s="36" t="n">
        <x:f>'Score Inputs'!P11</x:f>
        <x:v>11</x:v>
      </x:c>
      <x:c r="F111" s="36" t="n">
        <x:f>E111-D111</x:f>
        <x:v>4</x:v>
      </x:c>
      <x:c r="G111" s="15" t="n">
        <x:f>'Score Inputs'!D11</x:f>
        <x:v>7.5</x:v>
      </x:c>
      <x:c r="H111" s="15" t="n">
        <x:f>'Score Inputs'!C11</x:f>
        <x:v>8</x:v>
      </x:c>
      <x:c r="I111" s="15" t="n">
        <x:f>'Score Inputs'!E11</x:f>
        <x:v>8</x:v>
      </x:c>
      <x:c r="J111" s="15" t="n">
        <x:f>'Score Inputs'!N11</x:f>
        <x:v>2</x:v>
      </x:c>
      <x:c r="K111" s="15" t="n">
        <x:f>'Score Inputs'!O11</x:f>
        <x:v>10</x:v>
      </x:c>
    </x:row>
    <x:row r="112" ht="48" customHeight="1">
      <x:c r="A112" s="15" t="str">
        <x:v>Equal criteria</x:v>
      </x:c>
      <x:c r="B112" s="15" t="str">
        <x:v>TopResume</x:v>
      </x:c>
      <x:c r="C112" s="34" t="n">
        <x:f>ROUND(SUMPRODUCT('Score Inputs'!C12:K12,Rubric!$C$31:$K$31)/Rubric!$B$8,8)</x:f>
        <x:v>62.77777778</x:v>
      </x:c>
      <x:c r="D112" s="36" t="n">
        <x:f>1+COUNTIF($C$106:$C$130,"&gt;"&amp;C112)+COUNTIFS($C$106:$C$130,C112,$G$106:$G$130,"&gt;"&amp;G112)+COUNTIFS($C$106:$C$130,C112,$G$106:$G$130,G112,$H$106:$H$130,"&gt;"&amp;H112)+COUNTIFS($C$106:$C$130,C112,$G$106:$G$130,G112,$H$106:$H$130,H112,$I$106:$I$130,"&gt;"&amp;I112)+COUNTIFS($C$106:$C$130,C112,$G$106:$G$130,G112,$H$106:$H$130,H112,$I$106:$I$130,I112,$J$106:$J$130,"&gt;"&amp;J112)+COUNTIFS($C$106:$C$130,C112,$G$106:$G$130,G112,$H$106:$H$130,H112,$I$106:$I$130,I112,$J$106:$J$130,J112,$K$106:$K$130,"&lt;"&amp;K112)</x:f>
        <x:v>24</x:v>
      </x:c>
      <x:c r="E112" s="36" t="n">
        <x:f>'Score Inputs'!P12</x:f>
        <x:v>24</x:v>
      </x:c>
      <x:c r="F112" s="36" t="n">
        <x:f>E112-D112</x:f>
        <x:v>0</x:v>
      </x:c>
      <x:c r="G112" s="15" t="n">
        <x:f>'Score Inputs'!D12</x:f>
        <x:v>7</x:v>
      </x:c>
      <x:c r="H112" s="15" t="n">
        <x:f>'Score Inputs'!C12</x:f>
        <x:v>6.5</x:v>
      </x:c>
      <x:c r="I112" s="15" t="n">
        <x:f>'Score Inputs'!E12</x:f>
        <x:v>6.5</x:v>
      </x:c>
      <x:c r="J112" s="15" t="n">
        <x:f>'Score Inputs'!N12</x:f>
        <x:v>2</x:v>
      </x:c>
      <x:c r="K112" s="15" t="n">
        <x:f>'Score Inputs'!O12</x:f>
        <x:v>23</x:v>
      </x:c>
    </x:row>
    <x:row r="113" ht="48" customHeight="1">
      <x:c r="A113" s="15" t="str">
        <x:v>Equal criteria</x:v>
      </x:c>
      <x:c r="B113" s="15" t="str">
        <x:v>The Resume Place</x:v>
      </x:c>
      <x:c r="C113" s="34" t="n">
        <x:f>ROUND(SUMPRODUCT('Score Inputs'!C13:K13,Rubric!$C$31:$K$31)/Rubric!$B$8,8)</x:f>
        <x:v>80</x:v>
      </x:c>
      <x:c r="D113" s="36" t="n">
        <x:f>1+COUNTIF($C$106:$C$130,"&gt;"&amp;C113)+COUNTIFS($C$106:$C$130,C113,$G$106:$G$130,"&gt;"&amp;G113)+COUNTIFS($C$106:$C$130,C113,$G$106:$G$130,G113,$H$106:$H$130,"&gt;"&amp;H113)+COUNTIFS($C$106:$C$130,C113,$G$106:$G$130,G113,$H$106:$H$130,H113,$I$106:$I$130,"&gt;"&amp;I113)+COUNTIFS($C$106:$C$130,C113,$G$106:$G$130,G113,$H$106:$H$130,H113,$I$106:$I$130,I113,$J$106:$J$130,"&gt;"&amp;J113)+COUNTIFS($C$106:$C$130,C113,$G$106:$G$130,G113,$H$106:$H$130,H113,$I$106:$I$130,I113,$J$106:$J$130,J113,$K$106:$K$130,"&lt;"&amp;K113)</x:f>
        <x:v>14</x:v>
      </x:c>
      <x:c r="E113" s="36" t="n">
        <x:f>'Score Inputs'!P13</x:f>
        <x:v>19</x:v>
      </x:c>
      <x:c r="F113" s="36" t="n">
        <x:f>E113-D113</x:f>
        <x:v>5</x:v>
      </x:c>
      <x:c r="G113" s="15" t="n">
        <x:f>'Score Inputs'!D13</x:f>
        <x:v>7</x:v>
      </x:c>
      <x:c r="H113" s="15" t="n">
        <x:f>'Score Inputs'!C13</x:f>
        <x:v>7</x:v>
      </x:c>
      <x:c r="I113" s="15" t="n">
        <x:f>'Score Inputs'!E13</x:f>
        <x:v>7</x:v>
      </x:c>
      <x:c r="J113" s="15" t="n">
        <x:f>'Score Inputs'!N13</x:f>
        <x:v>1</x:v>
      </x:c>
      <x:c r="K113" s="15" t="n">
        <x:f>'Score Inputs'!O13</x:f>
        <x:v>21</x:v>
      </x:c>
    </x:row>
    <x:row r="114" ht="48" customHeight="1">
      <x:c r="A114" s="15" t="str">
        <x:v>Equal criteria</x:v>
      </x:c>
      <x:c r="B114" s="15" t="str">
        <x:v>Ivy League Résumés</x:v>
      </x:c>
      <x:c r="C114" s="34" t="n">
        <x:f>ROUND(SUMPRODUCT('Score Inputs'!C14:K14,Rubric!$C$31:$K$31)/Rubric!$B$8,8)</x:f>
        <x:v>87.22222222</x:v>
      </x:c>
      <x:c r="D114" s="36" t="n">
        <x:f>1+COUNTIF($C$106:$C$130,"&gt;"&amp;C114)+COUNTIFS($C$106:$C$130,C114,$G$106:$G$130,"&gt;"&amp;G114)+COUNTIFS($C$106:$C$130,C114,$G$106:$G$130,G114,$H$106:$H$130,"&gt;"&amp;H114)+COUNTIFS($C$106:$C$130,C114,$G$106:$G$130,G114,$H$106:$H$130,H114,$I$106:$I$130,"&gt;"&amp;I114)+COUNTIFS($C$106:$C$130,C114,$G$106:$G$130,G114,$H$106:$H$130,H114,$I$106:$I$130,I114,$J$106:$J$130,"&gt;"&amp;J114)+COUNTIFS($C$106:$C$130,C114,$G$106:$G$130,G114,$H$106:$H$130,H114,$I$106:$I$130,I114,$J$106:$J$130,J114,$K$106:$K$130,"&lt;"&amp;K114)</x:f>
        <x:v>1</x:v>
      </x:c>
      <x:c r="E114" s="36" t="n">
        <x:f>'Score Inputs'!P14</x:f>
        <x:v>1</x:v>
      </x:c>
      <x:c r="F114" s="36" t="n">
        <x:f>E114-D114</x:f>
        <x:v>0</x:v>
      </x:c>
      <x:c r="G114" s="15" t="n">
        <x:f>'Score Inputs'!D14</x:f>
        <x:v>8.5</x:v>
      </x:c>
      <x:c r="H114" s="15" t="n">
        <x:f>'Score Inputs'!C14</x:f>
        <x:v>9</x:v>
      </x:c>
      <x:c r="I114" s="15" t="n">
        <x:f>'Score Inputs'!E14</x:f>
        <x:v>9</x:v>
      </x:c>
      <x:c r="J114" s="15" t="n">
        <x:f>'Score Inputs'!N14</x:f>
        <x:v>2</x:v>
      </x:c>
      <x:c r="K114" s="15" t="n">
        <x:f>'Score Inputs'!O14</x:f>
        <x:v>11</x:v>
      </x:c>
    </x:row>
    <x:row r="115" ht="48" customHeight="1">
      <x:c r="A115" s="15" t="str">
        <x:v>Equal criteria</x:v>
      </x:c>
      <x:c r="B115" s="15" t="str">
        <x:v>JobStars USA</x:v>
      </x:c>
      <x:c r="C115" s="34" t="n">
        <x:f>ROUND(SUMPRODUCT('Score Inputs'!C15:K15,Rubric!$C$31:$K$31)/Rubric!$B$8,8)</x:f>
        <x:v>80</x:v>
      </x:c>
      <x:c r="D115" s="36" t="n">
        <x:f>1+COUNTIF($C$106:$C$130,"&gt;"&amp;C115)+COUNTIFS($C$106:$C$130,C115,$G$106:$G$130,"&gt;"&amp;G115)+COUNTIFS($C$106:$C$130,C115,$G$106:$G$130,G115,$H$106:$H$130,"&gt;"&amp;H115)+COUNTIFS($C$106:$C$130,C115,$G$106:$G$130,G115,$H$106:$H$130,H115,$I$106:$I$130,"&gt;"&amp;I115)+COUNTIFS($C$106:$C$130,C115,$G$106:$G$130,G115,$H$106:$H$130,H115,$I$106:$I$130,I115,$J$106:$J$130,"&gt;"&amp;J115)+COUNTIFS($C$106:$C$130,C115,$G$106:$G$130,G115,$H$106:$H$130,H115,$I$106:$I$130,I115,$J$106:$J$130,J115,$K$106:$K$130,"&lt;"&amp;K115)</x:f>
        <x:v>12</x:v>
      </x:c>
      <x:c r="E115" s="36" t="n">
        <x:f>'Score Inputs'!P15</x:f>
        <x:v>10</x:v>
      </x:c>
      <x:c r="F115" s="36" t="n">
        <x:f>E115-D115</x:f>
        <x:v>-2</x:v>
      </x:c>
      <x:c r="G115" s="15" t="n">
        <x:f>'Score Inputs'!D15</x:f>
        <x:v>7.5</x:v>
      </x:c>
      <x:c r="H115" s="15" t="n">
        <x:f>'Score Inputs'!C15</x:f>
        <x:v>8.5</x:v>
      </x:c>
      <x:c r="I115" s="15" t="n">
        <x:f>'Score Inputs'!E15</x:f>
        <x:v>8</x:v>
      </x:c>
      <x:c r="J115" s="15" t="n">
        <x:f>'Score Inputs'!N15</x:f>
        <x:v>2</x:v>
      </x:c>
      <x:c r="K115" s="15" t="n">
        <x:f>'Score Inputs'!O15</x:f>
        <x:v>12</x:v>
      </x:c>
    </x:row>
    <x:row r="116" ht="48" customHeight="1">
      <x:c r="A116" s="15" t="str">
        <x:v>Equal criteria</x:v>
      </x:c>
      <x:c r="B116" s="15" t="str">
        <x:v>Resume Professional Writers</x:v>
      </x:c>
      <x:c r="C116" s="34" t="n">
        <x:f>ROUND(SUMPRODUCT('Score Inputs'!C16:K16,Rubric!$C$31:$K$31)/Rubric!$B$8,8)</x:f>
        <x:v>66.66666667</x:v>
      </x:c>
      <x:c r="D116" s="36" t="n">
        <x:f>1+COUNTIF($C$106:$C$130,"&gt;"&amp;C116)+COUNTIFS($C$106:$C$130,C116,$G$106:$G$130,"&gt;"&amp;G116)+COUNTIFS($C$106:$C$130,C116,$G$106:$G$130,G116,$H$106:$H$130,"&gt;"&amp;H116)+COUNTIFS($C$106:$C$130,C116,$G$106:$G$130,G116,$H$106:$H$130,H116,$I$106:$I$130,"&gt;"&amp;I116)+COUNTIFS($C$106:$C$130,C116,$G$106:$G$130,G116,$H$106:$H$130,H116,$I$106:$I$130,I116,$J$106:$J$130,"&gt;"&amp;J116)+COUNTIFS($C$106:$C$130,C116,$G$106:$G$130,G116,$H$106:$H$130,H116,$I$106:$I$130,I116,$J$106:$J$130,J116,$K$106:$K$130,"&lt;"&amp;K116)</x:f>
        <x:v>23</x:v>
      </x:c>
      <x:c r="E116" s="36" t="n">
        <x:f>'Score Inputs'!P16</x:f>
        <x:v>23</x:v>
      </x:c>
      <x:c r="F116" s="36" t="n">
        <x:f>E116-D116</x:f>
        <x:v>0</x:v>
      </x:c>
      <x:c r="G116" s="15" t="n">
        <x:f>'Score Inputs'!D16</x:f>
        <x:v>6</x:v>
      </x:c>
      <x:c r="H116" s="15" t="n">
        <x:f>'Score Inputs'!C16</x:f>
        <x:v>6.5</x:v>
      </x:c>
      <x:c r="I116" s="15" t="n">
        <x:f>'Score Inputs'!E16</x:f>
        <x:v>7.5</x:v>
      </x:c>
      <x:c r="J116" s="15" t="n">
        <x:f>'Score Inputs'!N16</x:f>
        <x:v>2</x:v>
      </x:c>
      <x:c r="K116" s="15" t="n">
        <x:f>'Score Inputs'!O16</x:f>
        <x:v>15</x:v>
      </x:c>
    </x:row>
    <x:row r="117" ht="48" customHeight="1">
      <x:c r="A117" s="15" t="str">
        <x:v>Equal criteria</x:v>
      </x:c>
      <x:c r="B117" s="15" t="str">
        <x:v>iCareerSolutions</x:v>
      </x:c>
      <x:c r="C117" s="34" t="n">
        <x:f>ROUND(SUMPRODUCT('Score Inputs'!C17:K17,Rubric!$C$31:$K$31)/Rubric!$B$8,8)</x:f>
        <x:v>80.55555556</x:v>
      </x:c>
      <x:c r="D117" s="36" t="n">
        <x:f>1+COUNTIF($C$106:$C$130,"&gt;"&amp;C117)+COUNTIFS($C$106:$C$130,C117,$G$106:$G$130,"&gt;"&amp;G117)+COUNTIFS($C$106:$C$130,C117,$G$106:$G$130,G117,$H$106:$H$130,"&gt;"&amp;H117)+COUNTIFS($C$106:$C$130,C117,$G$106:$G$130,G117,$H$106:$H$130,H117,$I$106:$I$130,"&gt;"&amp;I117)+COUNTIFS($C$106:$C$130,C117,$G$106:$G$130,G117,$H$106:$H$130,H117,$I$106:$I$130,I117,$J$106:$J$130,"&gt;"&amp;J117)+COUNTIFS($C$106:$C$130,C117,$G$106:$G$130,G117,$H$106:$H$130,H117,$I$106:$I$130,I117,$J$106:$J$130,J117,$K$106:$K$130,"&lt;"&amp;K117)</x:f>
        <x:v>9</x:v>
      </x:c>
      <x:c r="E117" s="36" t="n">
        <x:f>'Score Inputs'!P17</x:f>
        <x:v>12</x:v>
      </x:c>
      <x:c r="F117" s="36" t="n">
        <x:f>E117-D117</x:f>
        <x:v>3</x:v>
      </x:c>
      <x:c r="G117" s="15" t="n">
        <x:f>'Score Inputs'!D17</x:f>
        <x:v>7.5</x:v>
      </x:c>
      <x:c r="H117" s="15" t="n">
        <x:f>'Score Inputs'!C17</x:f>
        <x:v>8</x:v>
      </x:c>
      <x:c r="I117" s="15" t="n">
        <x:f>'Score Inputs'!E17</x:f>
        <x:v>8</x:v>
      </x:c>
      <x:c r="J117" s="15" t="n">
        <x:f>'Score Inputs'!N17</x:f>
        <x:v>2</x:v>
      </x:c>
      <x:c r="K117" s="15" t="n">
        <x:f>'Score Inputs'!O17</x:f>
        <x:v>25</x:v>
      </x:c>
    </x:row>
    <x:row r="118" ht="48" customHeight="1">
      <x:c r="A118" s="15" t="str">
        <x:v>Equal criteria</x:v>
      </x:c>
      <x:c r="B118" s="15" t="str">
        <x:v>Distinctive Career Services</x:v>
      </x:c>
      <x:c r="C118" s="34" t="n">
        <x:f>ROUND(SUMPRODUCT('Score Inputs'!C18:K18,Rubric!$C$31:$K$31)/Rubric!$B$8,8)</x:f>
        <x:v>85</x:v>
      </x:c>
      <x:c r="D118" s="36" t="n">
        <x:f>1+COUNTIF($C$106:$C$130,"&gt;"&amp;C118)+COUNTIFS($C$106:$C$130,C118,$G$106:$G$130,"&gt;"&amp;G118)+COUNTIFS($C$106:$C$130,C118,$G$106:$G$130,G118,$H$106:$H$130,"&gt;"&amp;H118)+COUNTIFS($C$106:$C$130,C118,$G$106:$G$130,G118,$H$106:$H$130,H118,$I$106:$I$130,"&gt;"&amp;I118)+COUNTIFS($C$106:$C$130,C118,$G$106:$G$130,G118,$H$106:$H$130,H118,$I$106:$I$130,I118,$J$106:$J$130,"&gt;"&amp;J118)+COUNTIFS($C$106:$C$130,C118,$G$106:$G$130,G118,$H$106:$H$130,H118,$I$106:$I$130,I118,$J$106:$J$130,J118,$K$106:$K$130,"&lt;"&amp;K118)</x:f>
        <x:v>4</x:v>
      </x:c>
      <x:c r="E118" s="36" t="n">
        <x:f>'Score Inputs'!P18</x:f>
        <x:v>4</x:v>
      </x:c>
      <x:c r="F118" s="36" t="n">
        <x:f>E118-D118</x:f>
        <x:v>0</x:v>
      </x:c>
      <x:c r="G118" s="15" t="n">
        <x:f>'Score Inputs'!D18</x:f>
        <x:v>8</x:v>
      </x:c>
      <x:c r="H118" s="15" t="n">
        <x:f>'Score Inputs'!C18</x:f>
        <x:v>8</x:v>
      </x:c>
      <x:c r="I118" s="15" t="n">
        <x:f>'Score Inputs'!E18</x:f>
        <x:v>7.5</x:v>
      </x:c>
      <x:c r="J118" s="15" t="n">
        <x:f>'Score Inputs'!N18</x:f>
        <x:v>2</x:v>
      </x:c>
      <x:c r="K118" s="15" t="n">
        <x:f>'Score Inputs'!O18</x:f>
        <x:v>7</x:v>
      </x:c>
    </x:row>
    <x:row r="119" ht="48" customHeight="1">
      <x:c r="A119" s="15" t="str">
        <x:v>Equal criteria</x:v>
      </x:c>
      <x:c r="B119" s="15" t="str">
        <x:v>Resume Writing Group</x:v>
      </x:c>
      <x:c r="C119" s="34" t="n">
        <x:f>ROUND(SUMPRODUCT('Score Inputs'!C19:K19,Rubric!$C$31:$K$31)/Rubric!$B$8,8)</x:f>
        <x:v>60.55555556</x:v>
      </x:c>
      <x:c r="D119" s="36" t="n">
        <x:f>1+COUNTIF($C$106:$C$130,"&gt;"&amp;C119)+COUNTIFS($C$106:$C$130,C119,$G$106:$G$130,"&gt;"&amp;G119)+COUNTIFS($C$106:$C$130,C119,$G$106:$G$130,G119,$H$106:$H$130,"&gt;"&amp;H119)+COUNTIFS($C$106:$C$130,C119,$G$106:$G$130,G119,$H$106:$H$130,H119,$I$106:$I$130,"&gt;"&amp;I119)+COUNTIFS($C$106:$C$130,C119,$G$106:$G$130,G119,$H$106:$H$130,H119,$I$106:$I$130,I119,$J$106:$J$130,"&gt;"&amp;J119)+COUNTIFS($C$106:$C$130,C119,$G$106:$G$130,G119,$H$106:$H$130,H119,$I$106:$I$130,I119,$J$106:$J$130,J119,$K$106:$K$130,"&lt;"&amp;K119)</x:f>
        <x:v>25</x:v>
      </x:c>
      <x:c r="E119" s="36" t="n">
        <x:f>'Score Inputs'!P19</x:f>
        <x:v>25</x:v>
      </x:c>
      <x:c r="F119" s="36" t="n">
        <x:f>E119-D119</x:f>
        <x:v>0</x:v>
      </x:c>
      <x:c r="G119" s="15" t="n">
        <x:f>'Score Inputs'!D19</x:f>
        <x:v>5.5</x:v>
      </x:c>
      <x:c r="H119" s="15" t="n">
        <x:f>'Score Inputs'!C19</x:f>
        <x:v>6</x:v>
      </x:c>
      <x:c r="I119" s="15" t="n">
        <x:f>'Score Inputs'!E19</x:f>
        <x:v>6.5</x:v>
      </x:c>
      <x:c r="J119" s="15" t="n">
        <x:f>'Score Inputs'!N19</x:f>
        <x:v>2</x:v>
      </x:c>
      <x:c r="K119" s="15" t="n">
        <x:f>'Score Inputs'!O19</x:f>
        <x:v>17</x:v>
      </x:c>
    </x:row>
    <x:row r="120" ht="48" customHeight="1">
      <x:c r="A120" s="15" t="str">
        <x:v>Equal criteria</x:v>
      </x:c>
      <x:c r="B120" s="15" t="str">
        <x:v>An Expert Resume</x:v>
      </x:c>
      <x:c r="C120" s="34" t="n">
        <x:f>ROUND(SUMPRODUCT('Score Inputs'!C20:K20,Rubric!$C$31:$K$31)/Rubric!$B$8,8)</x:f>
        <x:v>85</x:v>
      </x:c>
      <x:c r="D120" s="36" t="n">
        <x:f>1+COUNTIF($C$106:$C$130,"&gt;"&amp;C120)+COUNTIFS($C$106:$C$130,C120,$G$106:$G$130,"&gt;"&amp;G120)+COUNTIFS($C$106:$C$130,C120,$G$106:$G$130,G120,$H$106:$H$130,"&gt;"&amp;H120)+COUNTIFS($C$106:$C$130,C120,$G$106:$G$130,G120,$H$106:$H$130,H120,$I$106:$I$130,"&gt;"&amp;I120)+COUNTIFS($C$106:$C$130,C120,$G$106:$G$130,G120,$H$106:$H$130,H120,$I$106:$I$130,I120,$J$106:$J$130,"&gt;"&amp;J120)+COUNTIFS($C$106:$C$130,C120,$G$106:$G$130,G120,$H$106:$H$130,H120,$I$106:$I$130,I120,$J$106:$J$130,J120,$K$106:$K$130,"&lt;"&amp;K120)</x:f>
        <x:v>2</x:v>
      </x:c>
      <x:c r="E120" s="36" t="n">
        <x:f>'Score Inputs'!P20</x:f>
        <x:v>3</x:v>
      </x:c>
      <x:c r="F120" s="36" t="n">
        <x:f>E120-D120</x:f>
        <x:v>1</x:v>
      </x:c>
      <x:c r="G120" s="15" t="n">
        <x:f>'Score Inputs'!D20</x:f>
        <x:v>8.5</x:v>
      </x:c>
      <x:c r="H120" s="15" t="n">
        <x:f>'Score Inputs'!C20</x:f>
        <x:v>8.5</x:v>
      </x:c>
      <x:c r="I120" s="15" t="n">
        <x:f>'Score Inputs'!E20</x:f>
        <x:v>7.5</x:v>
      </x:c>
      <x:c r="J120" s="15" t="n">
        <x:f>'Score Inputs'!N20</x:f>
        <x:v>2</x:v>
      </x:c>
      <x:c r="K120" s="15" t="n">
        <x:f>'Score Inputs'!O20</x:f>
        <x:v>1</x:v>
      </x:c>
    </x:row>
    <x:row r="121" ht="48" customHeight="1">
      <x:c r="A121" s="15" t="str">
        <x:v>Equal criteria</x:v>
      </x:c>
      <x:c r="B121" s="15" t="str">
        <x:v>Resume Target</x:v>
      </x:c>
      <x:c r="C121" s="34" t="n">
        <x:f>ROUND(SUMPRODUCT('Score Inputs'!C21:K21,Rubric!$C$31:$K$31)/Rubric!$B$8,8)</x:f>
        <x:v>75</x:v>
      </x:c>
      <x:c r="D121" s="36" t="n">
        <x:f>1+COUNTIF($C$106:$C$130,"&gt;"&amp;C121)+COUNTIFS($C$106:$C$130,C121,$G$106:$G$130,"&gt;"&amp;G121)+COUNTIFS($C$106:$C$130,C121,$G$106:$G$130,G121,$H$106:$H$130,"&gt;"&amp;H121)+COUNTIFS($C$106:$C$130,C121,$G$106:$G$130,G121,$H$106:$H$130,H121,$I$106:$I$130,"&gt;"&amp;I121)+COUNTIFS($C$106:$C$130,C121,$G$106:$G$130,G121,$H$106:$H$130,H121,$I$106:$I$130,I121,$J$106:$J$130,"&gt;"&amp;J121)+COUNTIFS($C$106:$C$130,C121,$G$106:$G$130,G121,$H$106:$H$130,H121,$I$106:$I$130,I121,$J$106:$J$130,J121,$K$106:$K$130,"&lt;"&amp;K121)</x:f>
        <x:v>20</x:v>
      </x:c>
      <x:c r="E121" s="36" t="n">
        <x:f>'Score Inputs'!P21</x:f>
        <x:v>22</x:v>
      </x:c>
      <x:c r="F121" s="36" t="n">
        <x:f>E121-D121</x:f>
        <x:v>2</x:v>
      </x:c>
      <x:c r="G121" s="15" t="n">
        <x:f>'Score Inputs'!D21</x:f>
        <x:v>6.5</x:v>
      </x:c>
      <x:c r="H121" s="15" t="n">
        <x:f>'Score Inputs'!C21</x:f>
        <x:v>7.5</x:v>
      </x:c>
      <x:c r="I121" s="15" t="n">
        <x:f>'Score Inputs'!E21</x:f>
        <x:v>8</x:v>
      </x:c>
      <x:c r="J121" s="15" t="n">
        <x:f>'Score Inputs'!N21</x:f>
        <x:v>1</x:v>
      </x:c>
      <x:c r="K121" s="15" t="n">
        <x:f>'Score Inputs'!O21</x:f>
        <x:v>16</x:v>
      </x:c>
    </x:row>
    <x:row r="122" ht="48" customHeight="1">
      <x:c r="A122" s="15" t="str">
        <x:v>Equal criteria</x:v>
      </x:c>
      <x:c r="B122" s="15" t="str">
        <x:v>The Writing Guru</x:v>
      </x:c>
      <x:c r="C122" s="34" t="n">
        <x:f>ROUND(SUMPRODUCT('Score Inputs'!C22:K22,Rubric!$C$31:$K$31)/Rubric!$B$8,8)</x:f>
        <x:v>84.44444444</x:v>
      </x:c>
      <x:c r="D122" s="36" t="n">
        <x:f>1+COUNTIF($C$106:$C$130,"&gt;"&amp;C122)+COUNTIFS($C$106:$C$130,C122,$G$106:$G$130,"&gt;"&amp;G122)+COUNTIFS($C$106:$C$130,C122,$G$106:$G$130,G122,$H$106:$H$130,"&gt;"&amp;H122)+COUNTIFS($C$106:$C$130,C122,$G$106:$G$130,G122,$H$106:$H$130,H122,$I$106:$I$130,"&gt;"&amp;I122)+COUNTIFS($C$106:$C$130,C122,$G$106:$G$130,G122,$H$106:$H$130,H122,$I$106:$I$130,I122,$J$106:$J$130,"&gt;"&amp;J122)+COUNTIFS($C$106:$C$130,C122,$G$106:$G$130,G122,$H$106:$H$130,H122,$I$106:$I$130,I122,$J$106:$J$130,J122,$K$106:$K$130,"&lt;"&amp;K122)</x:f>
        <x:v>5</x:v>
      </x:c>
      <x:c r="E122" s="36" t="n">
        <x:f>'Score Inputs'!P22</x:f>
        <x:v>5</x:v>
      </x:c>
      <x:c r="F122" s="36" t="n">
        <x:f>E122-D122</x:f>
        <x:v>0</x:v>
      </x:c>
      <x:c r="G122" s="15" t="n">
        <x:f>'Score Inputs'!D22</x:f>
        <x:v>8</x:v>
      </x:c>
      <x:c r="H122" s="15" t="n">
        <x:f>'Score Inputs'!C22</x:f>
        <x:v>8</x:v>
      </x:c>
      <x:c r="I122" s="15" t="n">
        <x:f>'Score Inputs'!E22</x:f>
        <x:v>7</x:v>
      </x:c>
      <x:c r="J122" s="15" t="n">
        <x:f>'Score Inputs'!N22</x:f>
        <x:v>2</x:v>
      </x:c>
      <x:c r="K122" s="15" t="n">
        <x:f>'Score Inputs'!O22</x:f>
        <x:v>22</x:v>
      </x:c>
    </x:row>
    <x:row r="123" ht="48" customHeight="1">
      <x:c r="A123" s="15" t="str">
        <x:v>Equal criteria</x:v>
      </x:c>
      <x:c r="B123" s="15" t="str">
        <x:v>Career Impressions</x:v>
      </x:c>
      <x:c r="C123" s="34" t="n">
        <x:f>ROUND(SUMPRODUCT('Score Inputs'!C23:K23,Rubric!$C$31:$K$31)/Rubric!$B$8,8)</x:f>
        <x:v>85</x:v>
      </x:c>
      <x:c r="D123" s="36" t="n">
        <x:f>1+COUNTIF($C$106:$C$130,"&gt;"&amp;C123)+COUNTIFS($C$106:$C$130,C123,$G$106:$G$130,"&gt;"&amp;G123)+COUNTIFS($C$106:$C$130,C123,$G$106:$G$130,G123,$H$106:$H$130,"&gt;"&amp;H123)+COUNTIFS($C$106:$C$130,C123,$G$106:$G$130,G123,$H$106:$H$130,H123,$I$106:$I$130,"&gt;"&amp;I123)+COUNTIFS($C$106:$C$130,C123,$G$106:$G$130,G123,$H$106:$H$130,H123,$I$106:$I$130,I123,$J$106:$J$130,"&gt;"&amp;J123)+COUNTIFS($C$106:$C$130,C123,$G$106:$G$130,G123,$H$106:$H$130,H123,$I$106:$I$130,I123,$J$106:$J$130,J123,$K$106:$K$130,"&lt;"&amp;K123)</x:f>
        <x:v>3</x:v>
      </x:c>
      <x:c r="E123" s="36" t="n">
        <x:f>'Score Inputs'!P23</x:f>
        <x:v>2</x:v>
      </x:c>
      <x:c r="F123" s="36" t="n">
        <x:f>E123-D123</x:f>
        <x:v>-1</x:v>
      </x:c>
      <x:c r="G123" s="15" t="n">
        <x:f>'Score Inputs'!D23</x:f>
        <x:v>8</x:v>
      </x:c>
      <x:c r="H123" s="15" t="n">
        <x:f>'Score Inputs'!C23</x:f>
        <x:v>8.5</x:v>
      </x:c>
      <x:c r="I123" s="15" t="n">
        <x:f>'Score Inputs'!E23</x:f>
        <x:v>8</x:v>
      </x:c>
      <x:c r="J123" s="15" t="n">
        <x:f>'Score Inputs'!N23</x:f>
        <x:v>2</x:v>
      </x:c>
      <x:c r="K123" s="15" t="n">
        <x:f>'Score Inputs'!O23</x:f>
        <x:v>4</x:v>
      </x:c>
    </x:row>
    <x:row r="124" ht="48" customHeight="1">
      <x:c r="A124" s="15" t="str">
        <x:v>Equal criteria</x:v>
      </x:c>
      <x:c r="B124" s="15" t="str">
        <x:v>CareerProPlus / CareerPro Global</x:v>
      </x:c>
      <x:c r="C124" s="34" t="n">
        <x:f>ROUND(SUMPRODUCT('Score Inputs'!C24:K24,Rubric!$C$31:$K$31)/Rubric!$B$8,8)</x:f>
        <x:v>79.44444444</x:v>
      </x:c>
      <x:c r="D124" s="36" t="n">
        <x:f>1+COUNTIF($C$106:$C$130,"&gt;"&amp;C124)+COUNTIFS($C$106:$C$130,C124,$G$106:$G$130,"&gt;"&amp;G124)+COUNTIFS($C$106:$C$130,C124,$G$106:$G$130,G124,$H$106:$H$130,"&gt;"&amp;H124)+COUNTIFS($C$106:$C$130,C124,$G$106:$G$130,G124,$H$106:$H$130,H124,$I$106:$I$130,"&gt;"&amp;I124)+COUNTIFS($C$106:$C$130,C124,$G$106:$G$130,G124,$H$106:$H$130,H124,$I$106:$I$130,I124,$J$106:$J$130,"&gt;"&amp;J124)+COUNTIFS($C$106:$C$130,C124,$G$106:$G$130,G124,$H$106:$H$130,H124,$I$106:$I$130,I124,$J$106:$J$130,J124,$K$106:$K$130,"&lt;"&amp;K124)</x:f>
        <x:v>16</x:v>
      </x:c>
      <x:c r="E124" s="36" t="n">
        <x:f>'Score Inputs'!P24</x:f>
        <x:v>16</x:v>
      </x:c>
      <x:c r="F124" s="36" t="n">
        <x:f>E124-D124</x:f>
        <x:v>0</x:v>
      </x:c>
      <x:c r="G124" s="15" t="n">
        <x:f>'Score Inputs'!D24</x:f>
        <x:v>7</x:v>
      </x:c>
      <x:c r="H124" s="15" t="n">
        <x:f>'Score Inputs'!C24</x:f>
        <x:v>8</x:v>
      </x:c>
      <x:c r="I124" s="15" t="n">
        <x:f>'Score Inputs'!E24</x:f>
        <x:v>7</x:v>
      </x:c>
      <x:c r="J124" s="15" t="n">
        <x:f>'Score Inputs'!N24</x:f>
        <x:v>1</x:v>
      </x:c>
      <x:c r="K124" s="15" t="n">
        <x:f>'Score Inputs'!O24</x:f>
        <x:v>6</x:v>
      </x:c>
    </x:row>
    <x:row r="125" ht="48" customHeight="1">
      <x:c r="A125" s="15" t="str">
        <x:v>Equal criteria</x:v>
      </x:c>
      <x:c r="B125" s="15" t="str">
        <x:v>Career Steering</x:v>
      </x:c>
      <x:c r="C125" s="34" t="n">
        <x:f>ROUND(SUMPRODUCT('Score Inputs'!C25:K25,Rubric!$C$31:$K$31)/Rubric!$B$8,8)</x:f>
        <x:v>82.77777778</x:v>
      </x:c>
      <x:c r="D125" s="36" t="n">
        <x:f>1+COUNTIF($C$106:$C$130,"&gt;"&amp;C125)+COUNTIFS($C$106:$C$130,C125,$G$106:$G$130,"&gt;"&amp;G125)+COUNTIFS($C$106:$C$130,C125,$G$106:$G$130,G125,$H$106:$H$130,"&gt;"&amp;H125)+COUNTIFS($C$106:$C$130,C125,$G$106:$G$130,G125,$H$106:$H$130,H125,$I$106:$I$130,"&gt;"&amp;I125)+COUNTIFS($C$106:$C$130,C125,$G$106:$G$130,G125,$H$106:$H$130,H125,$I$106:$I$130,I125,$J$106:$J$130,"&gt;"&amp;J125)+COUNTIFS($C$106:$C$130,C125,$G$106:$G$130,G125,$H$106:$H$130,H125,$I$106:$I$130,I125,$J$106:$J$130,J125,$K$106:$K$130,"&lt;"&amp;K125)</x:f>
        <x:v>6</x:v>
      </x:c>
      <x:c r="E125" s="36" t="n">
        <x:f>'Score Inputs'!P25</x:f>
        <x:v>6</x:v>
      </x:c>
      <x:c r="F125" s="36" t="n">
        <x:f>E125-D125</x:f>
        <x:v>0</x:v>
      </x:c>
      <x:c r="G125" s="15" t="n">
        <x:f>'Score Inputs'!D25</x:f>
        <x:v>8</x:v>
      </x:c>
      <x:c r="H125" s="15" t="n">
        <x:f>'Score Inputs'!C25</x:f>
        <x:v>8.5</x:v>
      </x:c>
      <x:c r="I125" s="15" t="n">
        <x:f>'Score Inputs'!E25</x:f>
        <x:v>7.5</x:v>
      </x:c>
      <x:c r="J125" s="15" t="n">
        <x:f>'Score Inputs'!N25</x:f>
        <x:v>2</x:v>
      </x:c>
      <x:c r="K125" s="15" t="n">
        <x:f>'Score Inputs'!O25</x:f>
        <x:v>5</x:v>
      </x:c>
    </x:row>
    <x:row r="126" ht="48" customHeight="1">
      <x:c r="A126" s="15" t="str">
        <x:v>Equal criteria</x:v>
      </x:c>
      <x:c r="B126" s="15" t="str">
        <x:v>Blue Sky Resumes</x:v>
      </x:c>
      <x:c r="C126" s="34" t="n">
        <x:f>ROUND(SUMPRODUCT('Score Inputs'!C26:K26,Rubric!$C$31:$K$31)/Rubric!$B$8,8)</x:f>
        <x:v>80</x:v>
      </x:c>
      <x:c r="D126" s="36" t="n">
        <x:f>1+COUNTIF($C$106:$C$130,"&gt;"&amp;C126)+COUNTIFS($C$106:$C$130,C126,$G$106:$G$130,"&gt;"&amp;G126)+COUNTIFS($C$106:$C$130,C126,$G$106:$G$130,G126,$H$106:$H$130,"&gt;"&amp;H126)+COUNTIFS($C$106:$C$130,C126,$G$106:$G$130,G126,$H$106:$H$130,H126,$I$106:$I$130,"&gt;"&amp;I126)+COUNTIFS($C$106:$C$130,C126,$G$106:$G$130,G126,$H$106:$H$130,H126,$I$106:$I$130,I126,$J$106:$J$130,"&gt;"&amp;J126)+COUNTIFS($C$106:$C$130,C126,$G$106:$G$130,G126,$H$106:$H$130,H126,$I$106:$I$130,I126,$J$106:$J$130,J126,$K$106:$K$130,"&lt;"&amp;K126)</x:f>
        <x:v>13</x:v>
      </x:c>
      <x:c r="E126" s="36" t="n">
        <x:f>'Score Inputs'!P26</x:f>
        <x:v>15</x:v>
      </x:c>
      <x:c r="F126" s="36" t="n">
        <x:f>E126-D126</x:f>
        <x:v>2</x:v>
      </x:c>
      <x:c r="G126" s="15" t="n">
        <x:f>'Score Inputs'!D26</x:f>
        <x:v>7.5</x:v>
      </x:c>
      <x:c r="H126" s="15" t="n">
        <x:f>'Score Inputs'!C26</x:f>
        <x:v>7.5</x:v>
      </x:c>
      <x:c r="I126" s="15" t="n">
        <x:f>'Score Inputs'!E26</x:f>
        <x:v>8.5</x:v>
      </x:c>
      <x:c r="J126" s="15" t="n">
        <x:f>'Score Inputs'!N26</x:f>
        <x:v>1</x:v>
      </x:c>
      <x:c r="K126" s="15" t="n">
        <x:f>'Score Inputs'!O26</x:f>
        <x:v>2</x:v>
      </x:c>
    </x:row>
    <x:row r="127" ht="48" customHeight="1">
      <x:c r="A127" s="15" t="str">
        <x:v>Equal criteria</x:v>
      </x:c>
      <x:c r="B127" s="15" t="str">
        <x:v>Briefcase Coach</x:v>
      </x:c>
      <x:c r="C127" s="34" t="n">
        <x:f>ROUND(SUMPRODUCT('Score Inputs'!C27:K27,Rubric!$C$31:$K$31)/Rubric!$B$8,8)</x:f>
        <x:v>79.44444444</x:v>
      </x:c>
      <x:c r="D127" s="36" t="n">
        <x:f>1+COUNTIF($C$106:$C$130,"&gt;"&amp;C127)+COUNTIFS($C$106:$C$130,C127,$G$106:$G$130,"&gt;"&amp;G127)+COUNTIFS($C$106:$C$130,C127,$G$106:$G$130,G127,$H$106:$H$130,"&gt;"&amp;H127)+COUNTIFS($C$106:$C$130,C127,$G$106:$G$130,G127,$H$106:$H$130,H127,$I$106:$I$130,"&gt;"&amp;I127)+COUNTIFS($C$106:$C$130,C127,$G$106:$G$130,G127,$H$106:$H$130,H127,$I$106:$I$130,I127,$J$106:$J$130,"&gt;"&amp;J127)+COUNTIFS($C$106:$C$130,C127,$G$106:$G$130,G127,$H$106:$H$130,H127,$I$106:$I$130,I127,$J$106:$J$130,J127,$K$106:$K$130,"&lt;"&amp;K127)</x:f>
        <x:v>15</x:v>
      </x:c>
      <x:c r="E127" s="36" t="n">
        <x:f>'Score Inputs'!P27</x:f>
        <x:v>14</x:v>
      </x:c>
      <x:c r="F127" s="36" t="n">
        <x:f>E127-D127</x:f>
        <x:v>-1</x:v>
      </x:c>
      <x:c r="G127" s="15" t="n">
        <x:f>'Score Inputs'!D27</x:f>
        <x:v>7.5</x:v>
      </x:c>
      <x:c r="H127" s="15" t="n">
        <x:f>'Score Inputs'!C27</x:f>
        <x:v>8</x:v>
      </x:c>
      <x:c r="I127" s="15" t="n">
        <x:f>'Score Inputs'!E27</x:f>
        <x:v>7.5</x:v>
      </x:c>
      <x:c r="J127" s="15" t="n">
        <x:f>'Score Inputs'!N27</x:f>
        <x:v>2</x:v>
      </x:c>
      <x:c r="K127" s="15" t="n">
        <x:f>'Score Inputs'!O27</x:f>
        <x:v>3</x:v>
      </x:c>
    </x:row>
    <x:row r="128" ht="48" customHeight="1">
      <x:c r="A128" s="15" t="str">
        <x:v>Equal criteria</x:v>
      </x:c>
      <x:c r="B128" s="15" t="str">
        <x:v>Klaxos</x:v>
      </x:c>
      <x:c r="C128" s="34" t="n">
        <x:f>ROUND(SUMPRODUCT('Score Inputs'!C28:K28,Rubric!$C$31:$K$31)/Rubric!$B$8,8)</x:f>
        <x:v>75.55555556</x:v>
      </x:c>
      <x:c r="D128" s="36" t="n">
        <x:f>1+COUNTIF($C$106:$C$130,"&gt;"&amp;C128)+COUNTIFS($C$106:$C$130,C128,$G$106:$G$130,"&gt;"&amp;G128)+COUNTIFS($C$106:$C$130,C128,$G$106:$G$130,G128,$H$106:$H$130,"&gt;"&amp;H128)+COUNTIFS($C$106:$C$130,C128,$G$106:$G$130,G128,$H$106:$H$130,H128,$I$106:$I$130,"&gt;"&amp;I128)+COUNTIFS($C$106:$C$130,C128,$G$106:$G$130,G128,$H$106:$H$130,H128,$I$106:$I$130,I128,$J$106:$J$130,"&gt;"&amp;J128)+COUNTIFS($C$106:$C$130,C128,$G$106:$G$130,G128,$H$106:$H$130,H128,$I$106:$I$130,I128,$J$106:$J$130,J128,$K$106:$K$130,"&lt;"&amp;K128)</x:f>
        <x:v>19</x:v>
      </x:c>
      <x:c r="E128" s="36" t="n">
        <x:f>'Score Inputs'!P28</x:f>
        <x:v>20</x:v>
      </x:c>
      <x:c r="F128" s="36" t="n">
        <x:f>E128-D128</x:f>
        <x:v>1</x:v>
      </x:c>
      <x:c r="G128" s="15" t="n">
        <x:f>'Score Inputs'!D28</x:f>
        <x:v>7</x:v>
      </x:c>
      <x:c r="H128" s="15" t="n">
        <x:f>'Score Inputs'!C28</x:f>
        <x:v>8</x:v>
      </x:c>
      <x:c r="I128" s="15" t="n">
        <x:f>'Score Inputs'!E28</x:f>
        <x:v>7.5</x:v>
      </x:c>
      <x:c r="J128" s="15" t="n">
        <x:f>'Score Inputs'!N28</x:f>
        <x:v>1</x:v>
      </x:c>
      <x:c r="K128" s="15" t="n">
        <x:f>'Score Inputs'!O28</x:f>
        <x:v>13</x:v>
      </x:c>
    </x:row>
    <x:row r="129" ht="48" customHeight="1">
      <x:c r="A129" s="15" t="str">
        <x:v>Equal criteria</x:v>
      </x:c>
      <x:c r="B129" s="15" t="str">
        <x:v>Scientech Resumes / Scientech Career Systems</x:v>
      </x:c>
      <x:c r="C129" s="34" t="n">
        <x:f>ROUND(SUMPRODUCT('Score Inputs'!C29:K29,Rubric!$C$31:$K$31)/Rubric!$B$8,8)</x:f>
        <x:v>77.77777778</x:v>
      </x:c>
      <x:c r="D129" s="36" t="n">
        <x:f>1+COUNTIF($C$106:$C$130,"&gt;"&amp;C129)+COUNTIFS($C$106:$C$130,C129,$G$106:$G$130,"&gt;"&amp;G129)+COUNTIFS($C$106:$C$130,C129,$G$106:$G$130,G129,$H$106:$H$130,"&gt;"&amp;H129)+COUNTIFS($C$106:$C$130,C129,$G$106:$G$130,G129,$H$106:$H$130,H129,$I$106:$I$130,"&gt;"&amp;I129)+COUNTIFS($C$106:$C$130,C129,$G$106:$G$130,G129,$H$106:$H$130,H129,$I$106:$I$130,I129,$J$106:$J$130,"&gt;"&amp;J129)+COUNTIFS($C$106:$C$130,C129,$G$106:$G$130,G129,$H$106:$H$130,H129,$I$106:$I$130,I129,$J$106:$J$130,J129,$K$106:$K$130,"&lt;"&amp;K129)</x:f>
        <x:v>18</x:v>
      </x:c>
      <x:c r="E129" s="36" t="n">
        <x:f>'Score Inputs'!P29</x:f>
        <x:v>17</x:v>
      </x:c>
      <x:c r="F129" s="36" t="n">
        <x:f>E129-D129</x:f>
        <x:v>-1</x:v>
      </x:c>
      <x:c r="G129" s="15" t="n">
        <x:f>'Score Inputs'!D29</x:f>
        <x:v>7.5</x:v>
      </x:c>
      <x:c r="H129" s="15" t="n">
        <x:f>'Score Inputs'!C29</x:f>
        <x:v>7.5</x:v>
      </x:c>
      <x:c r="I129" s="15" t="n">
        <x:f>'Score Inputs'!E29</x:f>
        <x:v>7</x:v>
      </x:c>
      <x:c r="J129" s="15" t="n">
        <x:f>'Score Inputs'!N29</x:f>
        <x:v>1</x:v>
      </x:c>
      <x:c r="K129" s="15" t="n">
        <x:f>'Score Inputs'!O29</x:f>
        <x:v>20</x:v>
      </x:c>
    </x:row>
    <x:row r="130" ht="48" customHeight="1">
      <x:c r="A130" s="15" t="str">
        <x:v>Equal criteria</x:v>
      </x:c>
      <x:c r="B130" s="15" t="str">
        <x:v>Employment BOOST</x:v>
      </x:c>
      <x:c r="C130" s="34" t="n">
        <x:f>ROUND(SUMPRODUCT('Score Inputs'!C30:K30,Rubric!$C$31:$K$31)/Rubric!$B$8,8)</x:f>
        <x:v>80</x:v>
      </x:c>
      <x:c r="D130" s="36" t="n">
        <x:f>1+COUNTIF($C$106:$C$130,"&gt;"&amp;C130)+COUNTIFS($C$106:$C$130,C130,$G$106:$G$130,"&gt;"&amp;G130)+COUNTIFS($C$106:$C$130,C130,$G$106:$G$130,G130,$H$106:$H$130,"&gt;"&amp;H130)+COUNTIFS($C$106:$C$130,C130,$G$106:$G$130,G130,$H$106:$H$130,H130,$I$106:$I$130,"&gt;"&amp;I130)+COUNTIFS($C$106:$C$130,C130,$G$106:$G$130,G130,$H$106:$H$130,H130,$I$106:$I$130,I130,$J$106:$J$130,"&gt;"&amp;J130)+COUNTIFS($C$106:$C$130,C130,$G$106:$G$130,G130,$H$106:$H$130,H130,$I$106:$I$130,I130,$J$106:$J$130,J130,$K$106:$K$130,"&lt;"&amp;K130)</x:f>
        <x:v>10</x:v>
      </x:c>
      <x:c r="E130" s="36" t="n">
        <x:f>'Score Inputs'!P30</x:f>
        <x:v>9</x:v>
      </x:c>
      <x:c r="F130" s="36" t="n">
        <x:f>E130-D130</x:f>
        <x:v>-1</x:v>
      </x:c>
      <x:c r="G130" s="15" t="n">
        <x:f>'Score Inputs'!D30</x:f>
        <x:v>7.5</x:v>
      </x:c>
      <x:c r="H130" s="15" t="n">
        <x:f>'Score Inputs'!C30</x:f>
        <x:v>8.5</x:v>
      </x:c>
      <x:c r="I130" s="15" t="n">
        <x:f>'Score Inputs'!E30</x:f>
        <x:v>8</x:v>
      </x:c>
      <x:c r="J130" s="15" t="n">
        <x:f>'Score Inputs'!N30</x:f>
        <x:v>2</x:v>
      </x:c>
      <x:c r="K130" s="15" t="n">
        <x:f>'Score Inputs'!O30</x:f>
        <x:v>8</x:v>
      </x:c>
    </x:row>
  </x:sheetData>
  <x:mergeCells>
    <x:mergeCell ref="A1:K1"/>
    <x:mergeCell ref="A2:K3"/>
  </x:mergeCells>
  <x:pageMargins left="0.7" right="0.7" top="0.75" bottom="0.75" header="0.3" footer="0.3"/>
  <x:tableParts count="1">
    <x:tablePart xmlns:r="http://schemas.openxmlformats.org/officeDocument/2006/relationships" r:id="R7f6504c1c81f45e2"/>
  </x:tableParts>
</x:worksheet>
</file>

<file path=xl/worksheets/sheet10.xml><?xml version="1.0" encoding="utf-8"?>
<x:worksheet xmlns:x="http://schemas.openxmlformats.org/spreadsheetml/2006/main">
  <x:sheetViews>
    <x:sheetView workbookViewId="0">
      <x:pane ySplit="5" topLeftCell="A6" activePane="bottomLeft" state="frozen"/>
    </x:sheetView>
  </x:sheetViews>
  <x:sheetFormatPr defaultRowHeight="15"/>
  <x:cols>
    <x:col min="1" max="1" width="42" hidden="0" customWidth="1"/>
    <x:col min="2" max="2" width="20" hidden="0" customWidth="1"/>
    <x:col min="3" max="3" width="20" hidden="0" customWidth="1"/>
    <x:col min="4" max="4" width="16" hidden="0" customWidth="1"/>
    <x:col min="5" max="5" width="70" hidden="0" customWidth="1"/>
  </x:cols>
  <x:sheetData>
    <x:row r="1" ht="32" customHeight="1">
      <x:c r="A1" s="3" t="str">
        <x:v>MODEL CHECKS AND PUBLICATION NOTES</x:v>
      </x:c>
      <x:c r="B1" s="3"/>
      <x:c r="C1" s="3"/>
      <x:c r="D1" s="3"/>
      <x:c r="E1" s="3"/>
    </x:row>
    <x:row r="2" ht="24" customHeight="1">
      <x:c r="A2" s="8" t="str">
        <x:v>Calculation checks update with the model. Editorial reasons and exported snapshots require a documented refresh after any input changes. No website has been changed.</x:v>
      </x:c>
      <x:c r="B2" s="8"/>
      <x:c r="C2" s="8"/>
      <x:c r="D2" s="8"/>
      <x:c r="E2" s="8"/>
    </x:row>
    <x:row r="3" ht="24" customHeight="1">
      <x:c r="A3" s="8"/>
      <x:c r="B3" s="8"/>
      <x:c r="C3" s="8"/>
      <x:c r="D3" s="8"/>
      <x:c r="E3" s="8"/>
    </x:row>
    <x:row r="5" ht="34" customHeight="1">
      <x:c r="A5" s="12" t="str">
        <x:v>Check</x:v>
      </x:c>
      <x:c r="B5" s="12" t="str">
        <x:v>Actual</x:v>
      </x:c>
      <x:c r="C5" s="12" t="str">
        <x:v>Expected</x:v>
      </x:c>
      <x:c r="D5" s="12" t="str">
        <x:v>Pass / fail</x:v>
      </x:c>
      <x:c r="E5" s="12" t="str">
        <x:v>Meaning</x:v>
      </x:c>
    </x:row>
    <x:row r="6" ht="48" customHeight="1">
      <x:c r="A6" s="15" t="str">
        <x:v>Provider count</x:v>
      </x:c>
      <x:c r="B6" s="15" t="n">
        <x:f>COUNTA('Score Inputs'!A6:A30)</x:f>
        <x:v>25</x:v>
      </x:c>
      <x:c r="C6" s="15" t="n">
        <x:v>25</x:v>
      </x:c>
      <x:c r="D6" s="15" t="str">
        <x:f>IF(B6=C6,"PASS","CHECK")</x:f>
        <x:v>PASS</x:v>
      </x:c>
      <x:c r="E6" s="15" t="str">
        <x:v>The inherited cohort contains 25 providers.</x:v>
      </x:c>
    </x:row>
    <x:row r="7" ht="48" customHeight="1">
      <x:c r="A7" s="15" t="str">
        <x:v>Criterion rating count</x:v>
      </x:c>
      <x:c r="B7" s="15" t="n">
        <x:f>COUNT('Score Inputs'!C6:K30)</x:f>
        <x:v>225</x:v>
      </x:c>
      <x:c r="C7" s="15" t="n">
        <x:v>225</x:v>
      </x:c>
      <x:c r="D7" s="15" t="str">
        <x:f>IF(B7=C7,"PASS","CHECK")</x:f>
        <x:v>PASS</x:v>
      </x:c>
      <x:c r="E7" s="15" t="str">
        <x:v>Nine ratings for each provider.</x:v>
      </x:c>
    </x:row>
    <x:row r="8" ht="48" customHeight="1">
      <x:c r="A8" s="15" t="str">
        <x:v>Baseline weight sum</x:v>
      </x:c>
      <x:c r="B8" s="15" t="n">
        <x:f>SUM(Rubric!C6:K6)</x:f>
        <x:v>100</x:v>
      </x:c>
      <x:c r="C8" s="15" t="n">
        <x:v>100</x:v>
      </x:c>
      <x:c r="D8" s="15" t="str">
        <x:f>IF(B8=C8,"PASS","CHECK")</x:f>
        <x:v>PASS</x:v>
      </x:c>
      <x:c r="E8" s="15" t="str">
        <x:v>Original public weights retained.</x:v>
      </x:c>
    </x:row>
    <x:row r="9" ht="48" customHeight="1">
      <x:c r="A9" s="15" t="str">
        <x:v>Unique pair count</x:v>
      </x:c>
      <x:c r="B9" s="15" t="n">
        <x:f>COUNTA(Matchups!A6:A305)</x:f>
        <x:v>300</x:v>
      </x:c>
      <x:c r="C9" s="15" t="n">
        <x:v>300</x:v>
      </x:c>
      <x:c r="D9" s="15" t="str">
        <x:f>IF(B9=C9,"PASS","CHECK")</x:f>
        <x:v>PASS</x:v>
      </x:c>
      <x:c r="E9" s="15" t="str">
        <x:v>25 × 24 ÷ 2 unique pair comparisons.</x:v>
      </x:c>
    </x:row>
    <x:row r="10" ht="48" customHeight="1">
      <x:c r="A10" s="15" t="str">
        <x:v>Win / loss balance</x:v>
      </x:c>
      <x:c r="B10" s="15" t="n">
        <x:f>SUM('Score Inputs'!Q6:Q30)-SUM('Score Inputs'!R6:R30)</x:f>
        <x:v>0</x:v>
      </x:c>
      <x:c r="C10" s="15" t="n">
        <x:v>0</x:v>
      </x:c>
      <x:c r="D10" s="15" t="str">
        <x:f>IF(B10=C10,"PASS","CHECK")</x:f>
        <x:v>PASS</x:v>
      </x:c>
      <x:c r="E10" s="15" t="str">
        <x:v>Every decisive match creates one win and one loss.</x:v>
      </x:c>
    </x:row>
    <x:row r="11" ht="48" customHeight="1">
      <x:c r="A11" s="15" t="str">
        <x:v>Participation count</x:v>
      </x:c>
      <x:c r="B11" s="15" t="n">
        <x:f>SUM('Score Inputs'!Q6:S30)</x:f>
        <x:v>600</x:v>
      </x:c>
      <x:c r="C11" s="15" t="n">
        <x:v>600</x:v>
      </x:c>
      <x:c r="D11" s="15" t="str">
        <x:f>IF(B11=C11,"PASS","CHECK")</x:f>
        <x:v>PASS</x:v>
      </x:c>
      <x:c r="E11" s="15" t="str">
        <x:v>Every provider has 24 opponents.</x:v>
      </x:c>
    </x:row>
    <x:row r="12" ht="48" customHeight="1">
      <x:c r="A12" s="15" t="str">
        <x:v>Exact tied matches</x:v>
      </x:c>
      <x:c r="B12" s="15" t="n">
        <x:f>COUNTIF(Matchups!I6:I305,"Tie")</x:f>
        <x:v>9</x:v>
      </x:c>
      <x:c r="C12" s="15" t="n">
        <x:v>9</x:v>
      </x:c>
      <x:c r="D12" s="15" t="str">
        <x:f>IF(B12=C12,"PASS","CHECK")</x:f>
        <x:v>PASS</x:v>
      </x:c>
      <x:c r="E12" s="15" t="str">
        <x:v>Equal totals remain tournament ties.</x:v>
      </x:c>
    </x:row>
    <x:row r="13" ht="48" customHeight="1">
      <x:c r="A13" s="15" t="str">
        <x:v>Ranks sum</x:v>
      </x:c>
      <x:c r="B13" s="15" t="n">
        <x:f>SUM('Score Inputs'!P6:P30)</x:f>
        <x:v>325</x:v>
      </x:c>
      <x:c r="C13" s="15" t="n">
        <x:v>325</x:v>
      </x:c>
      <x:c r="D13" s="15" t="str">
        <x:f>IF(B13=C13,"PASS","CHECK")</x:f>
        <x:v>PASS</x:v>
      </x:c>
      <x:c r="E13" s="15" t="str">
        <x:v>Ranks 1–25 sum to 325; uniqueness also checked in external QA.</x:v>
      </x:c>
    </x:row>
    <x:row r="14" ht="48" customHeight="1">
      <x:c r="A14" s="15" t="str">
        <x:v>Rank minimum</x:v>
      </x:c>
      <x:c r="B14" s="15" t="n">
        <x:f>MIN('Score Inputs'!P6:P30)</x:f>
        <x:v>1</x:v>
      </x:c>
      <x:c r="C14" s="15" t="n">
        <x:v>1</x:v>
      </x:c>
      <x:c r="D14" s="15" t="str">
        <x:f>IF(B14=C14,"PASS","CHECK")</x:f>
        <x:v>PASS</x:v>
      </x:c>
      <x:c r="E14" s="15" t="str">
        <x:v>First place exists.</x:v>
      </x:c>
    </x:row>
    <x:row r="15" ht="48" customHeight="1">
      <x:c r="A15" s="15" t="str">
        <x:v>Rank maximum</x:v>
      </x:c>
      <x:c r="B15" s="15" t="n">
        <x:f>MAX('Score Inputs'!P6:P30)</x:f>
        <x:v>25</x:v>
      </x:c>
      <x:c r="C15" s="15" t="n">
        <x:v>25</x:v>
      </x:c>
      <x:c r="D15" s="15" t="str">
        <x:f>IF(B15=C15,"PASS","CHECK")</x:f>
        <x:v>PASS</x:v>
      </x:c>
      <x:c r="E15" s="15" t="str">
        <x:v>Every provider is ordered.</x:v>
      </x:c>
    </x:row>
    <x:row r="16" ht="48" customHeight="1">
      <x:c r="A16" s="15" t="str">
        <x:v>Source count</x:v>
      </x:c>
      <x:c r="B16" s="15" t="n">
        <x:f>COUNTA(Sources!A6:A128)</x:f>
        <x:v>123</x:v>
      </x:c>
      <x:c r="C16" s="15" t="n">
        <x:v>123</x:v>
      </x:c>
      <x:c r="D16" s="15" t="str">
        <x:f>IF(B16=C16,"PASS","CHECK")</x:f>
        <x:v>PASS</x:v>
      </x:c>
      <x:c r="E16" s="15" t="str">
        <x:v>Reference entries are not claims of independent testing.</x:v>
      </x:c>
    </x:row>
    <x:row r="17" ht="48" customHeight="1">
      <x:c r="A17" s="15" t="str">
        <x:v>Sensitivity row count</x:v>
      </x:c>
      <x:c r="B17" s="15" t="n">
        <x:f>COUNTA(Sensitivity!A6:A130)</x:f>
        <x:v>125</x:v>
      </x:c>
      <x:c r="C17" s="15" t="n">
        <x:v>125</x:v>
      </x:c>
      <x:c r="D17" s="15" t="str">
        <x:f>IF(B17=C17,"PASS","CHECK")</x:f>
        <x:v>PASS</x:v>
      </x:c>
      <x:c r="E17" s="15" t="str">
        <x:v>Five scenarios × 25 providers.</x:v>
      </x:c>
    </x:row>
    <x:row r="18" ht="48" customHeight="1">
      <x:c r="A18" s="15"/>
      <x:c r="B18" s="15"/>
      <x:c r="C18" s="15"/>
      <x:c r="D18" s="15"/>
      <x:c r="E18" s="15"/>
    </x:row>
    <x:row r="19" ht="48" customHeight="1">
      <x:c r="A19" s="15"/>
      <x:c r="B19" s="15"/>
      <x:c r="C19" s="15"/>
      <x:c r="D19" s="15"/>
      <x:c r="E19" s="15"/>
    </x:row>
    <x:row r="20" ht="48" customHeight="1">
      <x:c r="A20" s="15"/>
      <x:c r="B20" s="15"/>
      <x:c r="C20" s="15"/>
      <x:c r="D20" s="15"/>
      <x:c r="E20" s="15"/>
    </x:row>
    <x:row r="21" ht="78" customHeight="1">
      <x:c r="A21" s="15" t="str">
        <x:v>Relationship disclosure</x:v>
      </x:c>
      <x:c r="B21" s="15" t="str">
        <x:v>This comparison was commissioned by Keith Lawrence Miller, owner of Ivy League Résumés, one of the companies evaluated. AI-assisted public-source research and editorial scoring were used. It is not an independent consumer-testing study. No service was purchased or company contacted for this comparison.</x:v>
      </x:c>
      <x:c r="C21" s="15"/>
      <x:c r="D21" s="15"/>
      <x:c r="E21" s="15"/>
    </x:row>
    <x:row r="22" ht="78" customHeight="1">
      <x:c r="A22" s="15" t="str">
        <x:v>Coverage</x:v>
      </x:c>
      <x:c r="B22" s="15" t="str">
        <x:v>Eight selected examples totaling 15 visible pages were examined in the retained October 25 audit. This final pass adds source research, not new visual service tests. Remaining quality ratings draw on process and specific customer descriptions and are labeled accordingly.</x:v>
      </x:c>
      <x:c r="C22" s="15"/>
      <x:c r="D22" s="15"/>
      <x:c r="E22" s="15"/>
    </x:row>
    <x:row r="23" ht="78" customHeight="1">
      <x:c r="A23" s="15" t="str">
        <x:v>Score interpretation</x:v>
      </x:c>
      <x:c r="B23" s="15" t="str">
        <x:v>Editorial assessment, not a customer star rating, measured success probability, causal estimate or statistical confidence interval.</x:v>
      </x:c>
      <x:c r="C23" s="15"/>
      <x:c r="D23" s="15"/>
      <x:c r="E23" s="15"/>
    </x:row>
    <x:row r="24" ht="78" customHeight="1">
      <x:c r="A24" s="15" t="str">
        <x:v>Tie rules</x:v>
      </x:c>
      <x:c r="B24" s="15" t="str">
        <x:v>All 300 unique pairs are compared on the unrounded baseline score. Equal totals are ties; final rank uses outcomes, feedback, value, then evidence confidence. A residual tie is displayed alphabetically, an administrative ordering with no quality advantage claimed. Nonzero gaps below two points are close editorial calls. No claim of statistical significance is made.</x:v>
      </x:c>
      <x:c r="C24" s="15"/>
      <x:c r="D24" s="15"/>
      <x:c r="E24" s="15"/>
    </x:row>
    <x:row r="25" ht="78" customHeight="1">
      <x:c r="A25" s="15" t="str">
        <x:v>Unknown information</x:v>
      </x:c>
      <x:c r="B25" s="15" t="str">
        <x:v>No numerical zero or neutral default is assigned simply because a field is unknown. Ratings judge the available, identified evidence in each category. Incomplete direct output or price evidence is marked explicitly and lowers confidence in that judgment, not through a hidden arithmetic deduction. A quote-based value score is scope/terms-led and does not claim a known price.</x:v>
      </x:c>
      <x:c r="C25" s="15"/>
      <x:c r="D25" s="15"/>
      <x:c r="E25" s="15"/>
    </x:row>
    <x:row r="26" ht="78" customHeight="1">
      <x:c r="A26" s="15" t="str">
        <x:v>Confidence</x:v>
      </x:c>
      <x:c r="B26" s="15" t="str">
        <x:v>Medium/Low label the completeness of relevant evidence, not a probability. All actual paid fulfillment remains untested.</x:v>
      </x:c>
      <x:c r="C26" s="15"/>
      <x:c r="D26" s="15"/>
      <x:c r="E26" s="15"/>
    </x:row>
    <x:row r="27" ht="78" customHeight="1">
      <x:c r="A27" s="15" t="str">
        <x:v>Article use</x:v>
      </x:c>
      <x:c r="B27" s="15" t="str">
        <x:v>Preserve the relationship disclosure near the title and winner. Cite claims adjacent to their evidence. Do not call this an independent consumer test or convert scores into expected interview rates.</x:v>
      </x:c>
      <x:c r="C27" s="15"/>
      <x:c r="D27" s="15"/>
      <x:c r="E27" s="15"/>
    </x:row>
    <x:row r="28" ht="78" customHeight="1">
      <x:c r="A28" s="15" t="str">
        <x:v>Editing</x:v>
      </x:c>
      <x:c r="B28" s="15" t="str">
        <x:v>Change input ratings and weights only with evidence. Update the 225 written reasons and regenerate JSON/CSV/article text together; fixed exports will not change when the workbook changes.</x:v>
      </x:c>
      <x:c r="C28" s="15"/>
      <x:c r="D28" s="15"/>
      <x:c r="E28" s="15"/>
    </x:row>
    <x:row r="29" ht="48" customHeight="1">
      <x:c r="A29" s="15"/>
      <x:c r="B29" s="15"/>
      <x:c r="C29" s="15"/>
      <x:c r="D29" s="15"/>
      <x:c r="E29" s="15"/>
    </x:row>
    <x:row r="30" ht="48" customHeight="1">
      <x:c r="A30" s="15"/>
      <x:c r="B30" s="15"/>
      <x:c r="C30" s="15"/>
      <x:c r="D30" s="15"/>
      <x:c r="E30" s="15"/>
    </x:row>
    <x:row r="31" ht="48" customHeight="1">
      <x:c r="A31" s="15"/>
      <x:c r="B31" s="15"/>
      <x:c r="C31" s="15"/>
      <x:c r="D31" s="15"/>
      <x:c r="E31" s="15"/>
    </x:row>
    <x:row r="32" ht="48" customHeight="1">
      <x:c r="A32" s="15"/>
      <x:c r="B32" s="15"/>
      <x:c r="C32" s="15"/>
      <x:c r="D32" s="15"/>
      <x:c r="E32" s="15"/>
    </x:row>
    <x:row r="33" ht="48" customHeight="1">
      <x:c r="A33" s="15"/>
      <x:c r="B33" s="15"/>
      <x:c r="C33" s="15"/>
      <x:c r="D33" s="15"/>
      <x:c r="E33" s="15"/>
    </x:row>
    <x:row r="34" ht="48" customHeight="1">
      <x:c r="A34" s="15"/>
      <x:c r="B34" s="15"/>
      <x:c r="C34" s="15"/>
      <x:c r="D34" s="15"/>
      <x:c r="E34" s="15"/>
    </x:row>
    <x:row r="35" ht="48" customHeight="1">
      <x:c r="A35" s="15"/>
      <x:c r="B35" s="15"/>
      <x:c r="C35" s="15"/>
      <x:c r="D35" s="15"/>
      <x:c r="E35" s="15"/>
    </x:row>
  </x:sheetData>
  <x:mergeCells>
    <x:mergeCell ref="A1:E1"/>
    <x:mergeCell ref="A2:E3"/>
    <x:mergeCell ref="B21:E21"/>
    <x:mergeCell ref="B22:E22"/>
    <x:mergeCell ref="B23:E23"/>
    <x:mergeCell ref="B24:E24"/>
    <x:mergeCell ref="B25:E25"/>
    <x:mergeCell ref="B26:E26"/>
    <x:mergeCell ref="B27:E27"/>
    <x:mergeCell ref="B28:E28"/>
  </x:mergeCells>
  <x:conditionalFormatting sqref="D6:D17">
    <x:cfRule type="expression" dxfId="2" priority="1">
      <x:formula>D6="PASS"</x:formula>
    </x:cfRule>
    <x:cfRule type="expression" dxfId="3" priority="2">
      <x:formula>D6="CHECK"</x:formula>
    </x:cfRule>
  </x:conditionalFormatting>
  <x:pageMargins left="0.7" right="0.7" top="0.75" bottom="0.75" header="0.3" footer="0.3"/>
</x:worksheet>
</file>